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212178\Research\Essex\Current projects\Stretching\Results\"/>
    </mc:Choice>
  </mc:AlternateContent>
  <xr:revisionPtr revIDLastSave="0" documentId="13_ncr:1_{2F040D4D-7B7B-43A9-B335-473F381008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rticipants" sheetId="13" r:id="rId1"/>
    <sheet name="MVC" sheetId="1" r:id="rId2"/>
    <sheet name="SD" sheetId="3" r:id="rId3"/>
    <sheet name="CV" sheetId="4" r:id="rId4"/>
    <sheet name="ApEn" sheetId="5" r:id="rId5"/>
    <sheet name="SampEn" sheetId="6" r:id="rId6"/>
    <sheet name="DFA" sheetId="7" r:id="rId7"/>
    <sheet name="arEMG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3" l="1"/>
  <c r="C16" i="13"/>
  <c r="B16" i="13"/>
  <c r="D15" i="13"/>
  <c r="C15" i="13"/>
  <c r="B15" i="13"/>
  <c r="Z64" i="11"/>
  <c r="Y64" i="11"/>
  <c r="Y44" i="11"/>
  <c r="O23" i="11" l="1"/>
  <c r="N23" i="11"/>
  <c r="O31" i="11"/>
  <c r="N31" i="11"/>
  <c r="Y63" i="11"/>
  <c r="X63" i="11"/>
  <c r="O63" i="11"/>
  <c r="N63" i="11"/>
  <c r="AB13" i="11"/>
  <c r="AC13" i="11"/>
  <c r="R13" i="11"/>
  <c r="S13" i="11"/>
  <c r="H13" i="11"/>
  <c r="I13" i="11"/>
  <c r="Z72" i="11"/>
  <c r="Y72" i="11"/>
  <c r="X72" i="11"/>
  <c r="AC72" i="11" s="1"/>
  <c r="R72" i="11"/>
  <c r="O72" i="11"/>
  <c r="N72" i="11"/>
  <c r="S72" i="11" s="1"/>
  <c r="H72" i="11"/>
  <c r="F72" i="11"/>
  <c r="E72" i="11"/>
  <c r="D72" i="11"/>
  <c r="AB71" i="11"/>
  <c r="Z71" i="11"/>
  <c r="Y71" i="11"/>
  <c r="X71" i="11"/>
  <c r="AC71" i="11" s="1"/>
  <c r="S71" i="11"/>
  <c r="P71" i="11"/>
  <c r="O71" i="11"/>
  <c r="N71" i="11"/>
  <c r="R71" i="11" s="1"/>
  <c r="F71" i="11"/>
  <c r="E71" i="11"/>
  <c r="D71" i="11"/>
  <c r="Z69" i="11"/>
  <c r="Y69" i="11"/>
  <c r="X69" i="11"/>
  <c r="R69" i="11"/>
  <c r="P69" i="11"/>
  <c r="P76" i="11" s="1"/>
  <c r="O69" i="11"/>
  <c r="N69" i="11"/>
  <c r="H69" i="11"/>
  <c r="F69" i="11"/>
  <c r="E69" i="11"/>
  <c r="D69" i="11"/>
  <c r="D76" i="11" s="1"/>
  <c r="AB67" i="11"/>
  <c r="Z67" i="11"/>
  <c r="Y67" i="11"/>
  <c r="X67" i="11"/>
  <c r="R67" i="11"/>
  <c r="P67" i="11"/>
  <c r="O67" i="11"/>
  <c r="N67" i="11"/>
  <c r="S67" i="11" s="1"/>
  <c r="I67" i="11"/>
  <c r="F67" i="11"/>
  <c r="E67" i="11"/>
  <c r="D67" i="11"/>
  <c r="Z66" i="11"/>
  <c r="Y66" i="11"/>
  <c r="X66" i="11"/>
  <c r="R66" i="11"/>
  <c r="P66" i="11"/>
  <c r="O66" i="11"/>
  <c r="N66" i="11"/>
  <c r="H66" i="11"/>
  <c r="F66" i="11"/>
  <c r="E66" i="11"/>
  <c r="D66" i="11"/>
  <c r="I66" i="11" s="1"/>
  <c r="AC65" i="11"/>
  <c r="Z65" i="11"/>
  <c r="Y65" i="11"/>
  <c r="Y75" i="11" s="1"/>
  <c r="X65" i="11"/>
  <c r="P65" i="11"/>
  <c r="P75" i="11" s="1"/>
  <c r="O65" i="11"/>
  <c r="N65" i="11"/>
  <c r="H65" i="11"/>
  <c r="F65" i="11"/>
  <c r="E65" i="11"/>
  <c r="D65" i="11"/>
  <c r="AB64" i="11"/>
  <c r="X64" i="11"/>
  <c r="X75" i="11" s="1"/>
  <c r="S64" i="11"/>
  <c r="P64" i="11"/>
  <c r="O64" i="11"/>
  <c r="N64" i="11"/>
  <c r="F64" i="11"/>
  <c r="F75" i="11" s="1"/>
  <c r="E64" i="11"/>
  <c r="D64" i="11"/>
  <c r="AB63" i="11"/>
  <c r="Z63" i="11"/>
  <c r="R63" i="11"/>
  <c r="P63" i="11"/>
  <c r="I63" i="11"/>
  <c r="F63" i="11"/>
  <c r="F76" i="11" s="1"/>
  <c r="E63" i="11"/>
  <c r="AC62" i="11"/>
  <c r="AB62" i="11"/>
  <c r="S62" i="11"/>
  <c r="R62" i="11"/>
  <c r="I62" i="11"/>
  <c r="H62" i="11"/>
  <c r="Z55" i="11"/>
  <c r="P55" i="11"/>
  <c r="AB52" i="11"/>
  <c r="Z52" i="11"/>
  <c r="Y52" i="11"/>
  <c r="X52" i="11"/>
  <c r="AC52" i="11" s="1"/>
  <c r="S52" i="11"/>
  <c r="P52" i="11"/>
  <c r="O52" i="11"/>
  <c r="N52" i="11"/>
  <c r="F52" i="11"/>
  <c r="E52" i="11"/>
  <c r="D52" i="11"/>
  <c r="AB51" i="11"/>
  <c r="Z51" i="11"/>
  <c r="Y51" i="11"/>
  <c r="X51" i="11"/>
  <c r="R51" i="11"/>
  <c r="P51" i="11"/>
  <c r="O51" i="11"/>
  <c r="N51" i="11"/>
  <c r="S51" i="11" s="1"/>
  <c r="I51" i="11"/>
  <c r="F51" i="11"/>
  <c r="E51" i="11"/>
  <c r="D51" i="11"/>
  <c r="Z49" i="11"/>
  <c r="Y49" i="11"/>
  <c r="X49" i="11"/>
  <c r="AC49" i="11" s="1"/>
  <c r="P49" i="11"/>
  <c r="O49" i="11"/>
  <c r="N49" i="11"/>
  <c r="S49" i="11" s="1"/>
  <c r="F49" i="11"/>
  <c r="E49" i="11"/>
  <c r="D49" i="11"/>
  <c r="I49" i="11" s="1"/>
  <c r="AB47" i="11"/>
  <c r="Z47" i="11"/>
  <c r="Y47" i="11"/>
  <c r="X47" i="11"/>
  <c r="AC47" i="11" s="1"/>
  <c r="S47" i="11"/>
  <c r="P47" i="11"/>
  <c r="O47" i="11"/>
  <c r="N47" i="11"/>
  <c r="F47" i="11"/>
  <c r="E47" i="11"/>
  <c r="D47" i="11"/>
  <c r="AB46" i="11"/>
  <c r="Z46" i="11"/>
  <c r="Y46" i="11"/>
  <c r="X46" i="11"/>
  <c r="R46" i="11"/>
  <c r="P46" i="11"/>
  <c r="O46" i="11"/>
  <c r="N46" i="11"/>
  <c r="S46" i="11" s="1"/>
  <c r="I46" i="11"/>
  <c r="F46" i="11"/>
  <c r="E46" i="11"/>
  <c r="D46" i="11"/>
  <c r="Z45" i="11"/>
  <c r="Y45" i="11"/>
  <c r="Y55" i="11" s="1"/>
  <c r="X45" i="11"/>
  <c r="O45" i="11"/>
  <c r="R45" i="11" s="1"/>
  <c r="N45" i="11"/>
  <c r="S45" i="11" s="1"/>
  <c r="H45" i="11"/>
  <c r="E45" i="11"/>
  <c r="D45" i="11"/>
  <c r="I45" i="11" s="1"/>
  <c r="AB44" i="11"/>
  <c r="Z44" i="11"/>
  <c r="X44" i="11"/>
  <c r="AC44" i="11" s="1"/>
  <c r="P44" i="11"/>
  <c r="O44" i="11"/>
  <c r="N44" i="11"/>
  <c r="R44" i="11" s="1"/>
  <c r="F44" i="11"/>
  <c r="E44" i="11"/>
  <c r="D44" i="11"/>
  <c r="H44" i="11" s="1"/>
  <c r="Z43" i="11"/>
  <c r="Z56" i="11" s="1"/>
  <c r="Y43" i="11"/>
  <c r="X43" i="11"/>
  <c r="AC43" i="11" s="1"/>
  <c r="R43" i="11"/>
  <c r="O43" i="11"/>
  <c r="N43" i="11"/>
  <c r="S43" i="11" s="1"/>
  <c r="H43" i="11"/>
  <c r="F43" i="11"/>
  <c r="E43" i="11"/>
  <c r="D43" i="11"/>
  <c r="AB42" i="11"/>
  <c r="Z42" i="11"/>
  <c r="Y42" i="11"/>
  <c r="X42" i="11"/>
  <c r="S42" i="11"/>
  <c r="P42" i="11"/>
  <c r="O42" i="11"/>
  <c r="N42" i="11"/>
  <c r="F42" i="11"/>
  <c r="E42" i="11"/>
  <c r="E56" i="11" s="1"/>
  <c r="D42" i="11"/>
  <c r="Z32" i="11"/>
  <c r="Y32" i="11"/>
  <c r="X32" i="11"/>
  <c r="R32" i="11"/>
  <c r="P32" i="11"/>
  <c r="O32" i="11"/>
  <c r="N32" i="11"/>
  <c r="H32" i="11"/>
  <c r="F32" i="11"/>
  <c r="E32" i="11"/>
  <c r="D32" i="11"/>
  <c r="I32" i="11" s="1"/>
  <c r="AC31" i="11"/>
  <c r="Z31" i="11"/>
  <c r="Y31" i="11"/>
  <c r="X31" i="11"/>
  <c r="P31" i="11"/>
  <c r="H31" i="11"/>
  <c r="F31" i="11"/>
  <c r="E31" i="11"/>
  <c r="D31" i="11"/>
  <c r="Y29" i="11"/>
  <c r="AB29" i="11" s="1"/>
  <c r="X29" i="11"/>
  <c r="AC29" i="11" s="1"/>
  <c r="R29" i="11"/>
  <c r="O29" i="11"/>
  <c r="N29" i="11"/>
  <c r="S29" i="11" s="1"/>
  <c r="H29" i="11"/>
  <c r="E29" i="11"/>
  <c r="D29" i="11"/>
  <c r="I29" i="11" s="1"/>
  <c r="AB27" i="11"/>
  <c r="Z27" i="11"/>
  <c r="Y27" i="11"/>
  <c r="X27" i="11"/>
  <c r="R27" i="11"/>
  <c r="P27" i="11"/>
  <c r="O27" i="11"/>
  <c r="N27" i="11"/>
  <c r="N36" i="11" s="1"/>
  <c r="I27" i="11"/>
  <c r="F27" i="11"/>
  <c r="E27" i="11"/>
  <c r="D27" i="11"/>
  <c r="H27" i="11" s="1"/>
  <c r="Z26" i="11"/>
  <c r="Z36" i="11" s="1"/>
  <c r="Y26" i="11"/>
  <c r="X26" i="11"/>
  <c r="R26" i="11"/>
  <c r="P26" i="11"/>
  <c r="O26" i="11"/>
  <c r="N26" i="11"/>
  <c r="H26" i="11"/>
  <c r="F26" i="11"/>
  <c r="E26" i="11"/>
  <c r="D26" i="11"/>
  <c r="D35" i="11" s="1"/>
  <c r="AC25" i="11"/>
  <c r="Y25" i="11"/>
  <c r="X25" i="11"/>
  <c r="AB25" i="11" s="1"/>
  <c r="S25" i="11"/>
  <c r="P25" i="11"/>
  <c r="O25" i="11"/>
  <c r="N25" i="11"/>
  <c r="F25" i="11"/>
  <c r="E25" i="11"/>
  <c r="D25" i="11"/>
  <c r="AB24" i="11"/>
  <c r="Z24" i="11"/>
  <c r="Y24" i="11"/>
  <c r="X24" i="11"/>
  <c r="R24" i="11"/>
  <c r="P24" i="11"/>
  <c r="O24" i="11"/>
  <c r="N24" i="11"/>
  <c r="S24" i="11" s="1"/>
  <c r="I24" i="11"/>
  <c r="F24" i="11"/>
  <c r="E24" i="11"/>
  <c r="E36" i="11" s="1"/>
  <c r="D24" i="11"/>
  <c r="Z23" i="11"/>
  <c r="Z35" i="11" s="1"/>
  <c r="Y23" i="11"/>
  <c r="Y35" i="11" s="1"/>
  <c r="X23" i="11"/>
  <c r="P23" i="11"/>
  <c r="H23" i="11"/>
  <c r="F23" i="11"/>
  <c r="E23" i="11"/>
  <c r="D23" i="11"/>
  <c r="D36" i="11" s="1"/>
  <c r="AC22" i="11"/>
  <c r="Z22" i="11"/>
  <c r="Y22" i="11"/>
  <c r="X22" i="11"/>
  <c r="P22" i="11"/>
  <c r="O22" i="11"/>
  <c r="N22" i="11"/>
  <c r="H22" i="11"/>
  <c r="F22" i="11"/>
  <c r="E22" i="11"/>
  <c r="E35" i="11" s="1"/>
  <c r="D22" i="11"/>
  <c r="X12" i="11"/>
  <c r="P12" i="11"/>
  <c r="O12" i="11"/>
  <c r="N12" i="11"/>
  <c r="R12" i="11" s="1"/>
  <c r="F12" i="11"/>
  <c r="E12" i="11"/>
  <c r="D12" i="11"/>
  <c r="I12" i="11" s="1"/>
  <c r="AC10" i="11"/>
  <c r="AB10" i="11"/>
  <c r="S10" i="11"/>
  <c r="R10" i="11"/>
  <c r="I10" i="11"/>
  <c r="H10" i="11"/>
  <c r="AC8" i="11"/>
  <c r="AB8" i="11"/>
  <c r="X8" i="11"/>
  <c r="P8" i="11"/>
  <c r="O8" i="11"/>
  <c r="R8" i="11" s="1"/>
  <c r="N8" i="11"/>
  <c r="H8" i="11"/>
  <c r="F8" i="11"/>
  <c r="E8" i="11"/>
  <c r="D8" i="11"/>
  <c r="I8" i="11" s="1"/>
  <c r="AB7" i="11"/>
  <c r="Z7" i="11"/>
  <c r="Y7" i="11"/>
  <c r="X7" i="11"/>
  <c r="AC7" i="11" s="1"/>
  <c r="S7" i="11"/>
  <c r="P7" i="11"/>
  <c r="O7" i="11"/>
  <c r="N7" i="11"/>
  <c r="R7" i="11" s="1"/>
  <c r="F7" i="11"/>
  <c r="E7" i="11"/>
  <c r="D7" i="11"/>
  <c r="H7" i="11" s="1"/>
  <c r="Z6" i="11"/>
  <c r="Y6" i="11"/>
  <c r="X6" i="11"/>
  <c r="AC6" i="11" s="1"/>
  <c r="R6" i="11"/>
  <c r="P6" i="11"/>
  <c r="O6" i="11"/>
  <c r="N6" i="11"/>
  <c r="S6" i="11" s="1"/>
  <c r="H6" i="11"/>
  <c r="F6" i="11"/>
  <c r="E6" i="11"/>
  <c r="D6" i="11"/>
  <c r="I6" i="11" s="1"/>
  <c r="Z5" i="11"/>
  <c r="Y5" i="11"/>
  <c r="X5" i="11"/>
  <c r="AB5" i="11" s="1"/>
  <c r="P5" i="11"/>
  <c r="O5" i="11"/>
  <c r="N5" i="11"/>
  <c r="S5" i="11" s="1"/>
  <c r="H5" i="11"/>
  <c r="F5" i="11"/>
  <c r="F17" i="11" s="1"/>
  <c r="E5" i="11"/>
  <c r="D5" i="11"/>
  <c r="I5" i="11" s="1"/>
  <c r="AB4" i="11"/>
  <c r="Z4" i="11"/>
  <c r="Y4" i="11"/>
  <c r="X4" i="11"/>
  <c r="AC4" i="11" s="1"/>
  <c r="P4" i="11"/>
  <c r="O4" i="11"/>
  <c r="N4" i="11"/>
  <c r="R4" i="11" s="1"/>
  <c r="F4" i="11"/>
  <c r="E4" i="11"/>
  <c r="E16" i="11" s="1"/>
  <c r="D4" i="11"/>
  <c r="I4" i="11" s="1"/>
  <c r="AB3" i="11"/>
  <c r="Z3" i="11"/>
  <c r="Z17" i="11" s="1"/>
  <c r="Y3" i="11"/>
  <c r="X3" i="11"/>
  <c r="R3" i="11"/>
  <c r="P3" i="11"/>
  <c r="O3" i="11"/>
  <c r="N3" i="11"/>
  <c r="N16" i="11" s="1"/>
  <c r="F3" i="11"/>
  <c r="E3" i="11"/>
  <c r="E17" i="11" s="1"/>
  <c r="D3" i="11"/>
  <c r="D17" i="11" s="1"/>
  <c r="R23" i="11" l="1"/>
  <c r="O75" i="11"/>
  <c r="I3" i="11"/>
  <c r="S4" i="11"/>
  <c r="AC5" i="11"/>
  <c r="I7" i="11"/>
  <c r="AC12" i="11"/>
  <c r="AB12" i="11"/>
  <c r="X17" i="11"/>
  <c r="O35" i="11"/>
  <c r="O36" i="11"/>
  <c r="F55" i="11"/>
  <c r="F56" i="11"/>
  <c r="S44" i="11"/>
  <c r="S55" i="11" s="1"/>
  <c r="N56" i="11"/>
  <c r="S3" i="11"/>
  <c r="Z16" i="11"/>
  <c r="N17" i="11"/>
  <c r="P36" i="11"/>
  <c r="I26" i="11"/>
  <c r="S27" i="11"/>
  <c r="X55" i="11"/>
  <c r="X56" i="11"/>
  <c r="AC42" i="11"/>
  <c r="D56" i="11"/>
  <c r="Z75" i="11"/>
  <c r="I69" i="11"/>
  <c r="F16" i="11"/>
  <c r="O16" i="11"/>
  <c r="X16" i="11"/>
  <c r="AC3" i="11"/>
  <c r="H4" i="11"/>
  <c r="R5" i="11"/>
  <c r="R17" i="11" s="1"/>
  <c r="AB6" i="11"/>
  <c r="AB17" i="11" s="1"/>
  <c r="O17" i="11"/>
  <c r="X35" i="11"/>
  <c r="AB22" i="11"/>
  <c r="X36" i="11"/>
  <c r="I23" i="11"/>
  <c r="H24" i="11"/>
  <c r="R25" i="11"/>
  <c r="S26" i="11"/>
  <c r="AC26" i="11"/>
  <c r="AC27" i="11"/>
  <c r="AB31" i="11"/>
  <c r="P35" i="11"/>
  <c r="I42" i="11"/>
  <c r="O55" i="11"/>
  <c r="O56" i="11"/>
  <c r="Y56" i="11"/>
  <c r="I43" i="11"/>
  <c r="H46" i="11"/>
  <c r="R47" i="11"/>
  <c r="AB49" i="11"/>
  <c r="H51" i="11"/>
  <c r="R52" i="11"/>
  <c r="D55" i="11"/>
  <c r="S56" i="11"/>
  <c r="N75" i="11"/>
  <c r="N76" i="11"/>
  <c r="S63" i="11"/>
  <c r="R64" i="11"/>
  <c r="AC64" i="11"/>
  <c r="AB65" i="11"/>
  <c r="AB75" i="11" s="1"/>
  <c r="H67" i="11"/>
  <c r="S69" i="11"/>
  <c r="AC69" i="11"/>
  <c r="I71" i="11"/>
  <c r="I72" i="11"/>
  <c r="Y76" i="11"/>
  <c r="S75" i="11"/>
  <c r="F35" i="11"/>
  <c r="F36" i="11"/>
  <c r="R42" i="11"/>
  <c r="N55" i="11"/>
  <c r="H3" i="11"/>
  <c r="P16" i="11"/>
  <c r="P17" i="11"/>
  <c r="Y16" i="11"/>
  <c r="Y17" i="11"/>
  <c r="S8" i="11"/>
  <c r="S12" i="11"/>
  <c r="D16" i="11"/>
  <c r="I22" i="11"/>
  <c r="S22" i="11"/>
  <c r="Y36" i="11"/>
  <c r="S23" i="11"/>
  <c r="AC23" i="11"/>
  <c r="AC35" i="11" s="1"/>
  <c r="AC24" i="11"/>
  <c r="AC36" i="11" s="1"/>
  <c r="I25" i="11"/>
  <c r="I31" i="11"/>
  <c r="S31" i="11"/>
  <c r="S32" i="11"/>
  <c r="AC32" i="11"/>
  <c r="E55" i="11"/>
  <c r="P56" i="11"/>
  <c r="I44" i="11"/>
  <c r="AC45" i="11"/>
  <c r="AC46" i="11"/>
  <c r="I47" i="11"/>
  <c r="R49" i="11"/>
  <c r="AC51" i="11"/>
  <c r="I52" i="11"/>
  <c r="E75" i="11"/>
  <c r="H63" i="11"/>
  <c r="E76" i="11"/>
  <c r="O76" i="11"/>
  <c r="X76" i="11"/>
  <c r="I64" i="11"/>
  <c r="I75" i="11" s="1"/>
  <c r="I65" i="11"/>
  <c r="S65" i="11"/>
  <c r="S66" i="11"/>
  <c r="AC66" i="11"/>
  <c r="AC67" i="11"/>
  <c r="Z76" i="11"/>
  <c r="H12" i="11"/>
  <c r="R22" i="11"/>
  <c r="AB23" i="11"/>
  <c r="H25" i="11"/>
  <c r="AB26" i="11"/>
  <c r="R31" i="11"/>
  <c r="AB32" i="11"/>
  <c r="N35" i="11"/>
  <c r="H42" i="11"/>
  <c r="AB43" i="11"/>
  <c r="AB56" i="11" s="1"/>
  <c r="AB45" i="11"/>
  <c r="H47" i="11"/>
  <c r="H49" i="11"/>
  <c r="H52" i="11"/>
  <c r="AC63" i="11"/>
  <c r="H64" i="11"/>
  <c r="R65" i="11"/>
  <c r="R75" i="11" s="1"/>
  <c r="AB66" i="11"/>
  <c r="AB69" i="11"/>
  <c r="H71" i="11"/>
  <c r="AB72" i="11"/>
  <c r="D75" i="11"/>
  <c r="S76" i="11"/>
  <c r="AB76" i="11"/>
  <c r="H56" i="11" l="1"/>
  <c r="H55" i="11"/>
  <c r="R35" i="11"/>
  <c r="R36" i="11"/>
  <c r="H75" i="11"/>
  <c r="H76" i="11"/>
  <c r="I56" i="11"/>
  <c r="I55" i="11"/>
  <c r="H35" i="11"/>
  <c r="I17" i="11"/>
  <c r="I16" i="11"/>
  <c r="AC75" i="11"/>
  <c r="I35" i="11"/>
  <c r="I36" i="11"/>
  <c r="H16" i="11"/>
  <c r="H17" i="11"/>
  <c r="H36" i="11"/>
  <c r="R76" i="11"/>
  <c r="R16" i="11"/>
  <c r="AC76" i="11"/>
  <c r="AB55" i="11"/>
  <c r="I76" i="11"/>
  <c r="S35" i="11"/>
  <c r="S36" i="11"/>
  <c r="R55" i="11"/>
  <c r="R56" i="11"/>
  <c r="AB35" i="11"/>
  <c r="AB36" i="11"/>
  <c r="AB16" i="11"/>
  <c r="AC16" i="11"/>
  <c r="AC17" i="11"/>
  <c r="AC55" i="11"/>
  <c r="AC56" i="11"/>
  <c r="S17" i="11"/>
  <c r="S16" i="11"/>
  <c r="Q10" i="3" l="1"/>
  <c r="AA42" i="5"/>
  <c r="G42" i="3"/>
  <c r="AB53" i="7"/>
  <c r="H33" i="6"/>
  <c r="R14" i="6"/>
  <c r="G73" i="5"/>
  <c r="H73" i="4"/>
  <c r="AB14" i="4"/>
  <c r="AB73" i="3"/>
  <c r="AA52" i="7"/>
  <c r="G32" i="7"/>
  <c r="AA72" i="6"/>
  <c r="Q52" i="6"/>
  <c r="G52" i="6"/>
  <c r="G32" i="6"/>
  <c r="AA72" i="5"/>
  <c r="Q71" i="3"/>
  <c r="G29" i="5"/>
  <c r="AA48" i="6"/>
  <c r="H65" i="3"/>
  <c r="AB5" i="7"/>
  <c r="R5" i="7"/>
  <c r="Q22" i="3"/>
  <c r="R31" i="7"/>
  <c r="AB28" i="7"/>
  <c r="AA28" i="7"/>
  <c r="R28" i="7"/>
  <c r="Q28" i="7"/>
  <c r="H28" i="7"/>
  <c r="G28" i="7"/>
  <c r="G10" i="7"/>
  <c r="AB73" i="6"/>
  <c r="G53" i="6"/>
  <c r="AB28" i="6"/>
  <c r="AA28" i="6"/>
  <c r="R28" i="6"/>
  <c r="Q28" i="6"/>
  <c r="H28" i="6"/>
  <c r="G28" i="6"/>
  <c r="AB10" i="6"/>
  <c r="R71" i="5"/>
  <c r="AB28" i="5"/>
  <c r="AA28" i="5"/>
  <c r="R28" i="5"/>
  <c r="Q28" i="5"/>
  <c r="H28" i="5"/>
  <c r="G28" i="5"/>
  <c r="R13" i="5"/>
  <c r="Q12" i="5"/>
  <c r="AA10" i="5"/>
  <c r="AB72" i="4"/>
  <c r="AB51" i="4"/>
  <c r="H51" i="4"/>
  <c r="AB28" i="4"/>
  <c r="AA28" i="4"/>
  <c r="R28" i="4"/>
  <c r="Q28" i="4"/>
  <c r="H28" i="4"/>
  <c r="G28" i="4"/>
  <c r="G14" i="4"/>
  <c r="R12" i="4"/>
  <c r="Q10" i="4"/>
  <c r="AB28" i="3"/>
  <c r="AA28" i="3"/>
  <c r="AB12" i="3"/>
  <c r="R71" i="3"/>
  <c r="Q33" i="3"/>
  <c r="R28" i="3"/>
  <c r="Q28" i="3"/>
  <c r="H28" i="3"/>
  <c r="G28" i="3"/>
  <c r="G10" i="3"/>
  <c r="H28" i="1"/>
  <c r="I28" i="1"/>
  <c r="AB22" i="4" l="1"/>
  <c r="G26" i="6"/>
  <c r="H10" i="4"/>
  <c r="AA10" i="4"/>
  <c r="Q10" i="7"/>
  <c r="G69" i="7"/>
  <c r="G70" i="7"/>
  <c r="G71" i="6"/>
  <c r="Q72" i="3"/>
  <c r="AA32" i="6"/>
  <c r="AB14" i="7"/>
  <c r="AB29" i="7"/>
  <c r="Q49" i="5"/>
  <c r="R7" i="5"/>
  <c r="AA9" i="3"/>
  <c r="G48" i="3"/>
  <c r="AA9" i="4"/>
  <c r="G68" i="4"/>
  <c r="Q9" i="5"/>
  <c r="AA48" i="5"/>
  <c r="Q48" i="6"/>
  <c r="G48" i="7"/>
  <c r="G68" i="7"/>
  <c r="R68" i="7"/>
  <c r="Q29" i="3"/>
  <c r="AB49" i="3"/>
  <c r="G29" i="4"/>
  <c r="Q49" i="4"/>
  <c r="AA69" i="4"/>
  <c r="H49" i="5"/>
  <c r="Q69" i="5"/>
  <c r="AA29" i="6"/>
  <c r="R31" i="3"/>
  <c r="H51" i="3"/>
  <c r="AB12" i="6"/>
  <c r="H51" i="6"/>
  <c r="H12" i="7"/>
  <c r="R52" i="3"/>
  <c r="H72" i="4"/>
  <c r="AB49" i="7"/>
  <c r="AB10" i="4"/>
  <c r="R22" i="6"/>
  <c r="Q33" i="5"/>
  <c r="AA50" i="6"/>
  <c r="AA13" i="3"/>
  <c r="AB32" i="5"/>
  <c r="H72" i="5"/>
  <c r="AA30" i="7"/>
  <c r="AB70" i="5"/>
  <c r="AB50" i="7"/>
  <c r="G14" i="5"/>
  <c r="AA53" i="5"/>
  <c r="G14" i="6"/>
  <c r="Q33" i="6"/>
  <c r="AA53" i="6"/>
  <c r="G14" i="7"/>
  <c r="Q33" i="7"/>
  <c r="G73" i="7"/>
  <c r="G33" i="4"/>
  <c r="AA73" i="4"/>
  <c r="G33" i="5"/>
  <c r="Q53" i="5"/>
  <c r="AA73" i="5"/>
  <c r="G33" i="6"/>
  <c r="Q53" i="6"/>
  <c r="G33" i="7"/>
  <c r="G9" i="6"/>
  <c r="AA8" i="3"/>
  <c r="G47" i="3"/>
  <c r="Q67" i="3"/>
  <c r="AA8" i="4"/>
  <c r="Q67" i="4"/>
  <c r="AA8" i="5"/>
  <c r="Q67" i="5"/>
  <c r="G69" i="3"/>
  <c r="G11" i="3"/>
  <c r="AA50" i="4"/>
  <c r="H13" i="3"/>
  <c r="G33" i="3"/>
  <c r="Q53" i="3"/>
  <c r="R33" i="4"/>
  <c r="AA33" i="4"/>
  <c r="Q14" i="6"/>
  <c r="G53" i="7"/>
  <c r="Q42" i="3"/>
  <c r="AA42" i="4"/>
  <c r="G42" i="6"/>
  <c r="R10" i="3"/>
  <c r="R10" i="5"/>
  <c r="H10" i="6"/>
  <c r="R10" i="7"/>
  <c r="H52" i="7"/>
  <c r="AA30" i="4"/>
  <c r="AA72" i="3"/>
  <c r="G13" i="4"/>
  <c r="Q52" i="4"/>
  <c r="AA72" i="4"/>
  <c r="Q52" i="5"/>
  <c r="Q10" i="5"/>
  <c r="Q14" i="3"/>
  <c r="AA53" i="7"/>
  <c r="Q51" i="4"/>
  <c r="G31" i="5"/>
  <c r="G31" i="6"/>
  <c r="Q51" i="6"/>
  <c r="G31" i="7"/>
  <c r="AB22" i="3"/>
  <c r="H22" i="5"/>
  <c r="G42" i="4"/>
  <c r="Q22" i="6"/>
  <c r="Q42" i="7"/>
  <c r="G32" i="4"/>
  <c r="Q72" i="5"/>
  <c r="AB13" i="7"/>
  <c r="AA72" i="7"/>
  <c r="G52" i="7"/>
  <c r="AB14" i="3"/>
  <c r="R33" i="3"/>
  <c r="H53" i="3"/>
  <c r="AB53" i="3"/>
  <c r="R73" i="3"/>
  <c r="H14" i="4"/>
  <c r="H53" i="4"/>
  <c r="AB53" i="4"/>
  <c r="R73" i="4"/>
  <c r="H14" i="5"/>
  <c r="AB14" i="5"/>
  <c r="R33" i="5"/>
  <c r="H53" i="5"/>
  <c r="AB53" i="5"/>
  <c r="R73" i="5"/>
  <c r="AB14" i="6"/>
  <c r="R33" i="6"/>
  <c r="H53" i="6"/>
  <c r="Q73" i="6"/>
  <c r="H14" i="7"/>
  <c r="R33" i="7"/>
  <c r="Q53" i="7"/>
  <c r="Q22" i="4"/>
  <c r="H42" i="3"/>
  <c r="AA42" i="3"/>
  <c r="R42" i="4"/>
  <c r="H42" i="5"/>
  <c r="AB42" i="5"/>
  <c r="R42" i="6"/>
  <c r="H42" i="7"/>
  <c r="AB42" i="7"/>
  <c r="AB22" i="7"/>
  <c r="AA30" i="3"/>
  <c r="G70" i="3"/>
  <c r="Q11" i="4"/>
  <c r="G70" i="4"/>
  <c r="Q11" i="6"/>
  <c r="Q11" i="7"/>
  <c r="AA12" i="3"/>
  <c r="Q71" i="5"/>
  <c r="G32" i="3"/>
  <c r="R22" i="3"/>
  <c r="AA22" i="4"/>
  <c r="AA33" i="3"/>
  <c r="G73" i="3"/>
  <c r="Q14" i="4"/>
  <c r="G73" i="4"/>
  <c r="Q14" i="5"/>
  <c r="R73" i="6"/>
  <c r="Q52" i="3"/>
  <c r="R13" i="3"/>
  <c r="H32" i="3"/>
  <c r="AB32" i="3"/>
  <c r="H72" i="3"/>
  <c r="AB72" i="3"/>
  <c r="R13" i="4"/>
  <c r="G52" i="4"/>
  <c r="R52" i="4"/>
  <c r="Q72" i="4"/>
  <c r="AA13" i="5"/>
  <c r="G52" i="5"/>
  <c r="R52" i="5"/>
  <c r="R72" i="5"/>
  <c r="AB72" i="5"/>
  <c r="AA13" i="6"/>
  <c r="R52" i="6"/>
  <c r="Q72" i="6"/>
  <c r="R13" i="7"/>
  <c r="AA13" i="7"/>
  <c r="Q52" i="7"/>
  <c r="AB52" i="7"/>
  <c r="R72" i="7"/>
  <c r="G13" i="3"/>
  <c r="AA52" i="4"/>
  <c r="Q32" i="5"/>
  <c r="Q32" i="7"/>
  <c r="AA12" i="6"/>
  <c r="Q12" i="3"/>
  <c r="AA31" i="3"/>
  <c r="G51" i="3"/>
  <c r="G71" i="3"/>
  <c r="AB12" i="4"/>
  <c r="AA31" i="4"/>
  <c r="G51" i="4"/>
  <c r="G71" i="4"/>
  <c r="Q71" i="4"/>
  <c r="AA12" i="5"/>
  <c r="AA31" i="5"/>
  <c r="G51" i="5"/>
  <c r="G71" i="5"/>
  <c r="Q12" i="6"/>
  <c r="AA31" i="6"/>
  <c r="G51" i="6"/>
  <c r="Q71" i="6"/>
  <c r="AA12" i="7"/>
  <c r="Q51" i="7"/>
  <c r="AA71" i="7"/>
  <c r="H12" i="3"/>
  <c r="AB51" i="3"/>
  <c r="H12" i="4"/>
  <c r="R31" i="4"/>
  <c r="R71" i="4"/>
  <c r="H12" i="5"/>
  <c r="AB12" i="5"/>
  <c r="H51" i="5"/>
  <c r="AB51" i="5"/>
  <c r="H12" i="6"/>
  <c r="R31" i="6"/>
  <c r="AB51" i="6"/>
  <c r="R71" i="6"/>
  <c r="AB12" i="7"/>
  <c r="G70" i="5"/>
  <c r="H11" i="3"/>
  <c r="AB11" i="3"/>
  <c r="R30" i="3"/>
  <c r="G50" i="3"/>
  <c r="Q70" i="3"/>
  <c r="AA70" i="3"/>
  <c r="H11" i="4"/>
  <c r="AB11" i="4"/>
  <c r="G30" i="4"/>
  <c r="R30" i="4"/>
  <c r="AB50" i="4"/>
  <c r="R70" i="4"/>
  <c r="AA70" i="4"/>
  <c r="H11" i="5"/>
  <c r="AB11" i="5"/>
  <c r="R30" i="5"/>
  <c r="H50" i="5"/>
  <c r="AB50" i="5"/>
  <c r="R70" i="5"/>
  <c r="H11" i="6"/>
  <c r="AB11" i="6"/>
  <c r="R30" i="6"/>
  <c r="H50" i="6"/>
  <c r="AB50" i="6"/>
  <c r="H11" i="7"/>
  <c r="AA11" i="7"/>
  <c r="R30" i="7"/>
  <c r="AA50" i="7"/>
  <c r="H70" i="7"/>
  <c r="G10" i="6"/>
  <c r="Q29" i="7"/>
  <c r="AA47" i="3"/>
  <c r="Q67" i="7"/>
  <c r="AA46" i="5"/>
  <c r="G6" i="5"/>
  <c r="G65" i="4"/>
  <c r="Q25" i="7"/>
  <c r="AA42" i="7"/>
  <c r="G22" i="3"/>
  <c r="AA22" i="5"/>
  <c r="AA22" i="7"/>
  <c r="AB22" i="5"/>
  <c r="H22" i="7"/>
  <c r="AA29" i="3"/>
  <c r="G52" i="3"/>
  <c r="AA13" i="4"/>
  <c r="H32" i="4"/>
  <c r="R32" i="3"/>
  <c r="H52" i="3"/>
  <c r="AB52" i="3"/>
  <c r="R72" i="3"/>
  <c r="H13" i="4"/>
  <c r="AB13" i="4"/>
  <c r="R32" i="4"/>
  <c r="H52" i="4"/>
  <c r="R72" i="4"/>
  <c r="AB13" i="5"/>
  <c r="H52" i="5"/>
  <c r="AB52" i="5"/>
  <c r="H13" i="6"/>
  <c r="AB13" i="6"/>
  <c r="R32" i="6"/>
  <c r="H52" i="6"/>
  <c r="AB52" i="6"/>
  <c r="R72" i="6"/>
  <c r="H13" i="7"/>
  <c r="R52" i="7"/>
  <c r="H72" i="7"/>
  <c r="AB72" i="7"/>
  <c r="H33" i="3"/>
  <c r="R53" i="3"/>
  <c r="H33" i="4"/>
  <c r="AB33" i="4"/>
  <c r="R53" i="4"/>
  <c r="AB73" i="4"/>
  <c r="H33" i="5"/>
  <c r="AB33" i="5"/>
  <c r="R53" i="5"/>
  <c r="H73" i="5"/>
  <c r="AB73" i="5"/>
  <c r="AB33" i="6"/>
  <c r="G73" i="6"/>
  <c r="R14" i="7"/>
  <c r="H53" i="7"/>
  <c r="R73" i="7"/>
  <c r="H10" i="3"/>
  <c r="AB10" i="3"/>
  <c r="G10" i="4"/>
  <c r="R10" i="4"/>
  <c r="H10" i="5"/>
  <c r="AB10" i="5"/>
  <c r="R10" i="6"/>
  <c r="AA10" i="6"/>
  <c r="H10" i="7"/>
  <c r="AB10" i="7"/>
  <c r="AA33" i="7"/>
  <c r="AB32" i="7"/>
  <c r="AB27" i="7"/>
  <c r="H29" i="3"/>
  <c r="AB69" i="3"/>
  <c r="H49" i="4"/>
  <c r="AB49" i="4"/>
  <c r="R69" i="4"/>
  <c r="AB49" i="6"/>
  <c r="G14" i="3"/>
  <c r="AA53" i="3"/>
  <c r="Q33" i="4"/>
  <c r="AA53" i="4"/>
  <c r="H14" i="6"/>
  <c r="AB53" i="6"/>
  <c r="AA31" i="7"/>
  <c r="G53" i="5"/>
  <c r="Q73" i="5"/>
  <c r="G53" i="3"/>
  <c r="Q73" i="3"/>
  <c r="G53" i="4"/>
  <c r="AA14" i="5"/>
  <c r="AA33" i="6"/>
  <c r="H73" i="6"/>
  <c r="Q14" i="7"/>
  <c r="Q73" i="7"/>
  <c r="R14" i="4"/>
  <c r="AA33" i="5"/>
  <c r="R32" i="7"/>
  <c r="AB32" i="4"/>
  <c r="H32" i="5"/>
  <c r="H32" i="6"/>
  <c r="AB32" i="6"/>
  <c r="H32" i="7"/>
  <c r="AA32" i="7"/>
  <c r="G72" i="5"/>
  <c r="Q13" i="6"/>
  <c r="Q72" i="7"/>
  <c r="G72" i="3"/>
  <c r="Q13" i="3"/>
  <c r="AA32" i="4"/>
  <c r="Q13" i="5"/>
  <c r="G13" i="6"/>
  <c r="Q12" i="7"/>
  <c r="G51" i="7"/>
  <c r="G12" i="3"/>
  <c r="R12" i="3"/>
  <c r="H31" i="3"/>
  <c r="Q31" i="3"/>
  <c r="AB31" i="3"/>
  <c r="R51" i="3"/>
  <c r="AA51" i="3"/>
  <c r="H71" i="3"/>
  <c r="G12" i="4"/>
  <c r="Q12" i="4"/>
  <c r="Q31" i="4"/>
  <c r="AB31" i="4"/>
  <c r="AA51" i="4"/>
  <c r="H71" i="4"/>
  <c r="AB71" i="4"/>
  <c r="G12" i="5"/>
  <c r="Q31" i="5"/>
  <c r="AB31" i="5"/>
  <c r="R51" i="5"/>
  <c r="AA51" i="5"/>
  <c r="H71" i="5"/>
  <c r="AB71" i="5"/>
  <c r="G12" i="6"/>
  <c r="R12" i="6"/>
  <c r="H31" i="6"/>
  <c r="AB31" i="6"/>
  <c r="AA51" i="6"/>
  <c r="H71" i="6"/>
  <c r="AB71" i="6"/>
  <c r="G12" i="7"/>
  <c r="R12" i="7"/>
  <c r="H51" i="7"/>
  <c r="AB51" i="7"/>
  <c r="R71" i="7"/>
  <c r="AA12" i="4"/>
  <c r="Q71" i="7"/>
  <c r="AA71" i="4"/>
  <c r="G72" i="7"/>
  <c r="R8" i="4"/>
  <c r="H67" i="4"/>
  <c r="H67" i="6"/>
  <c r="G69" i="4"/>
  <c r="R11" i="3"/>
  <c r="Q11" i="5"/>
  <c r="AA30" i="5"/>
  <c r="AA30" i="6"/>
  <c r="G70" i="6"/>
  <c r="H50" i="7"/>
  <c r="R70" i="7"/>
  <c r="Q51" i="5"/>
  <c r="AA71" i="6"/>
  <c r="AA73" i="3"/>
  <c r="Q53" i="4"/>
  <c r="AA73" i="6"/>
  <c r="AA14" i="7"/>
  <c r="AA73" i="7"/>
  <c r="G42" i="5"/>
  <c r="Q42" i="6"/>
  <c r="Q11" i="3"/>
  <c r="G50" i="7"/>
  <c r="Q70" i="7"/>
  <c r="G11" i="4"/>
  <c r="AA50" i="5"/>
  <c r="Q10" i="6"/>
  <c r="AA10" i="3"/>
  <c r="G10" i="5"/>
  <c r="AA10" i="7"/>
  <c r="AB52" i="4"/>
  <c r="AA71" i="5"/>
  <c r="AA52" i="6"/>
  <c r="G45" i="3"/>
  <c r="Q46" i="3"/>
  <c r="G26" i="4"/>
  <c r="Q46" i="6"/>
  <c r="H73" i="3"/>
  <c r="R14" i="3"/>
  <c r="AA52" i="3"/>
  <c r="Q32" i="4"/>
  <c r="R14" i="5"/>
  <c r="R32" i="5"/>
  <c r="AA52" i="5"/>
  <c r="Q31" i="6"/>
  <c r="Q32" i="6"/>
  <c r="H31" i="5"/>
  <c r="Q32" i="3"/>
  <c r="AB33" i="3"/>
  <c r="R51" i="4"/>
  <c r="AA51" i="7"/>
  <c r="G64" i="7"/>
  <c r="Q45" i="3"/>
  <c r="Q68" i="3"/>
  <c r="AA68" i="6"/>
  <c r="Q31" i="7"/>
  <c r="Q13" i="4"/>
  <c r="G72" i="4"/>
  <c r="AA32" i="5"/>
  <c r="G72" i="6"/>
  <c r="Q13" i="7"/>
  <c r="AA14" i="3"/>
  <c r="AA14" i="4"/>
  <c r="Q73" i="4"/>
  <c r="H22" i="3"/>
  <c r="AA3" i="4"/>
  <c r="AB26" i="4"/>
  <c r="R51" i="7"/>
  <c r="H71" i="7"/>
  <c r="AB71" i="7"/>
  <c r="R13" i="6"/>
  <c r="H72" i="6"/>
  <c r="AB72" i="6"/>
  <c r="AB33" i="7"/>
  <c r="R42" i="3"/>
  <c r="H42" i="4"/>
  <c r="AB42" i="4"/>
  <c r="R42" i="5"/>
  <c r="H42" i="6"/>
  <c r="AB42" i="6"/>
  <c r="AA24" i="7"/>
  <c r="G4" i="5"/>
  <c r="G4" i="6"/>
  <c r="Q5" i="5"/>
  <c r="AA44" i="5"/>
  <c r="H24" i="4"/>
  <c r="Q44" i="6"/>
  <c r="G44" i="5"/>
  <c r="Q45" i="7"/>
  <c r="AA65" i="7"/>
  <c r="G26" i="3"/>
  <c r="R66" i="3"/>
  <c r="Q46" i="4"/>
  <c r="G26" i="5"/>
  <c r="Q46" i="5"/>
  <c r="AA66" i="5"/>
  <c r="H45" i="7"/>
  <c r="AB45" i="7"/>
  <c r="R65" i="7"/>
  <c r="AB7" i="3"/>
  <c r="H46" i="3"/>
  <c r="AB7" i="4"/>
  <c r="H46" i="4"/>
  <c r="AB46" i="4"/>
  <c r="R66" i="4"/>
  <c r="Q7" i="5"/>
  <c r="AB7" i="5"/>
  <c r="R26" i="7"/>
  <c r="AB27" i="3"/>
  <c r="R9" i="3"/>
  <c r="R48" i="3"/>
  <c r="AB68" i="3"/>
  <c r="Q42" i="4"/>
  <c r="G42" i="7"/>
  <c r="AA66" i="6"/>
  <c r="G26" i="7"/>
  <c r="AA46" i="7"/>
  <c r="Q27" i="4"/>
  <c r="G8" i="5"/>
  <c r="Q27" i="5"/>
  <c r="Q27" i="6"/>
  <c r="AA47" i="6"/>
  <c r="AA32" i="3"/>
  <c r="AA29" i="7"/>
  <c r="AA24" i="6"/>
  <c r="AB44" i="7"/>
  <c r="H6" i="3"/>
  <c r="H45" i="3"/>
  <c r="AA45" i="3"/>
  <c r="AB6" i="4"/>
  <c r="R6" i="3"/>
  <c r="H25" i="4"/>
  <c r="R45" i="4"/>
  <c r="AB65" i="4"/>
  <c r="H25" i="5"/>
  <c r="AB25" i="5"/>
  <c r="R45" i="5"/>
  <c r="AB65" i="5"/>
  <c r="R6" i="6"/>
  <c r="H25" i="6"/>
  <c r="R45" i="6"/>
  <c r="R65" i="6"/>
  <c r="H6" i="7"/>
  <c r="AA7" i="3"/>
  <c r="H26" i="3"/>
  <c r="G46" i="3"/>
  <c r="R46" i="3"/>
  <c r="Q66" i="3"/>
  <c r="AA7" i="4"/>
  <c r="H26" i="4"/>
  <c r="G46" i="4"/>
  <c r="Q66" i="4"/>
  <c r="G46" i="5"/>
  <c r="AA7" i="6"/>
  <c r="Q66" i="6"/>
  <c r="AA7" i="7"/>
  <c r="G27" i="3"/>
  <c r="AA67" i="3"/>
  <c r="G27" i="4"/>
  <c r="AA67" i="4"/>
  <c r="G27" i="5"/>
  <c r="R27" i="6"/>
  <c r="H47" i="7"/>
  <c r="G67" i="7"/>
  <c r="R67" i="7"/>
  <c r="H9" i="3"/>
  <c r="Q9" i="3"/>
  <c r="AB9" i="3"/>
  <c r="H48" i="3"/>
  <c r="G68" i="3"/>
  <c r="R68" i="3"/>
  <c r="H9" i="4"/>
  <c r="Q9" i="4"/>
  <c r="AB9" i="4"/>
  <c r="R48" i="4"/>
  <c r="AA48" i="4"/>
  <c r="H68" i="4"/>
  <c r="G9" i="5"/>
  <c r="R9" i="5"/>
  <c r="Q48" i="5"/>
  <c r="AB48" i="5"/>
  <c r="R68" i="5"/>
  <c r="AA68" i="5"/>
  <c r="H9" i="6"/>
  <c r="G48" i="6"/>
  <c r="R48" i="6"/>
  <c r="Q68" i="6"/>
  <c r="AB68" i="6"/>
  <c r="AA9" i="7"/>
  <c r="AA48" i="7"/>
  <c r="H68" i="7"/>
  <c r="AB68" i="7"/>
  <c r="G29" i="3"/>
  <c r="H49" i="3"/>
  <c r="Q49" i="3"/>
  <c r="AA49" i="3"/>
  <c r="AA69" i="3"/>
  <c r="H29" i="4"/>
  <c r="G49" i="4"/>
  <c r="AB69" i="4"/>
  <c r="R29" i="5"/>
  <c r="G49" i="5"/>
  <c r="G69" i="5"/>
  <c r="R69" i="5"/>
  <c r="Q29" i="6"/>
  <c r="AB29" i="6"/>
  <c r="R49" i="6"/>
  <c r="AA49" i="6"/>
  <c r="AB69" i="6"/>
  <c r="Q63" i="3"/>
  <c r="AA4" i="4"/>
  <c r="G43" i="5"/>
  <c r="Q63" i="5"/>
  <c r="AA4" i="6"/>
  <c r="G43" i="6"/>
  <c r="AA4" i="7"/>
  <c r="R4" i="3"/>
  <c r="AB63" i="3"/>
  <c r="H63" i="5"/>
  <c r="AA42" i="6"/>
  <c r="H22" i="4"/>
  <c r="AB22" i="6"/>
  <c r="Q42" i="5"/>
  <c r="Q22" i="5"/>
  <c r="R22" i="5"/>
  <c r="G50" i="5"/>
  <c r="H69" i="4"/>
  <c r="Q62" i="4"/>
  <c r="AA3" i="5"/>
  <c r="Q62" i="7"/>
  <c r="R53" i="7"/>
  <c r="H73" i="7"/>
  <c r="AB73" i="7"/>
  <c r="AB31" i="7"/>
  <c r="Q25" i="4"/>
  <c r="AA45" i="4"/>
  <c r="Q25" i="5"/>
  <c r="AA45" i="5"/>
  <c r="G6" i="6"/>
  <c r="Q25" i="6"/>
  <c r="AA45" i="6"/>
  <c r="AA65" i="6"/>
  <c r="G25" i="7"/>
  <c r="AA46" i="3"/>
  <c r="G7" i="5"/>
  <c r="Q26" i="5"/>
  <c r="H46" i="5"/>
  <c r="R66" i="5"/>
  <c r="H46" i="6"/>
  <c r="R66" i="6"/>
  <c r="AB7" i="7"/>
  <c r="AB67" i="3"/>
  <c r="AB67" i="4"/>
  <c r="AA67" i="7"/>
  <c r="H68" i="3"/>
  <c r="R9" i="4"/>
  <c r="H48" i="4"/>
  <c r="AB48" i="4"/>
  <c r="H9" i="5"/>
  <c r="AB9" i="5"/>
  <c r="R48" i="5"/>
  <c r="H68" i="5"/>
  <c r="AB68" i="5"/>
  <c r="Q9" i="6"/>
  <c r="H48" i="6"/>
  <c r="AB48" i="6"/>
  <c r="R68" i="6"/>
  <c r="AB9" i="7"/>
  <c r="AB48" i="7"/>
  <c r="Q68" i="7"/>
  <c r="AB29" i="3"/>
  <c r="R49" i="3"/>
  <c r="H69" i="3"/>
  <c r="R29" i="4"/>
  <c r="AA49" i="4"/>
  <c r="H29" i="5"/>
  <c r="R49" i="5"/>
  <c r="H69" i="5"/>
  <c r="R29" i="6"/>
  <c r="G49" i="6"/>
  <c r="Q69" i="6"/>
  <c r="H48" i="7"/>
  <c r="Q25" i="3"/>
  <c r="R25" i="3"/>
  <c r="H50" i="4"/>
  <c r="G50" i="4"/>
  <c r="E36" i="3"/>
  <c r="G31" i="3"/>
  <c r="H50" i="3"/>
  <c r="AA11" i="3"/>
  <c r="G5" i="4"/>
  <c r="G5" i="5"/>
  <c r="Q24" i="5"/>
  <c r="G5" i="6"/>
  <c r="AA44" i="6"/>
  <c r="AA5" i="7"/>
  <c r="N76" i="7"/>
  <c r="Q7" i="4"/>
  <c r="G66" i="5"/>
  <c r="Q51" i="3"/>
  <c r="R70" i="3"/>
  <c r="AA11" i="4"/>
  <c r="AA11" i="5"/>
  <c r="G50" i="6"/>
  <c r="G29" i="7"/>
  <c r="H29" i="7"/>
  <c r="C55" i="3"/>
  <c r="G23" i="5"/>
  <c r="G5" i="3"/>
  <c r="Q24" i="3"/>
  <c r="Q24" i="4"/>
  <c r="AA44" i="4"/>
  <c r="Q24" i="6"/>
  <c r="G5" i="7"/>
  <c r="Q24" i="7"/>
  <c r="AA25" i="5"/>
  <c r="G63" i="7"/>
  <c r="AA71" i="3"/>
  <c r="AB71" i="3"/>
  <c r="AA26" i="3"/>
  <c r="Q7" i="7"/>
  <c r="G46" i="7"/>
  <c r="Q66" i="7"/>
  <c r="G47" i="5"/>
  <c r="Q67" i="6"/>
  <c r="AA8" i="7"/>
  <c r="G9" i="4"/>
  <c r="Q68" i="4"/>
  <c r="R68" i="4"/>
  <c r="N76" i="3"/>
  <c r="R5" i="4"/>
  <c r="AA24" i="4"/>
  <c r="G64" i="4"/>
  <c r="G64" i="5"/>
  <c r="R5" i="6"/>
  <c r="G64" i="6"/>
  <c r="AA44" i="7"/>
  <c r="AA64" i="7"/>
  <c r="G6" i="3"/>
  <c r="G25" i="4"/>
  <c r="G25" i="5"/>
  <c r="G25" i="6"/>
  <c r="AA6" i="7"/>
  <c r="Q46" i="7"/>
  <c r="AA66" i="7"/>
  <c r="R8" i="3"/>
  <c r="H27" i="3"/>
  <c r="R47" i="3"/>
  <c r="H27" i="4"/>
  <c r="R47" i="4"/>
  <c r="R8" i="5"/>
  <c r="H27" i="5"/>
  <c r="AB27" i="5"/>
  <c r="R47" i="5"/>
  <c r="AA67" i="5"/>
  <c r="G27" i="6"/>
  <c r="R47" i="6"/>
  <c r="AB67" i="6"/>
  <c r="G47" i="7"/>
  <c r="R29" i="7"/>
  <c r="R49" i="7"/>
  <c r="AA49" i="7"/>
  <c r="H69" i="7"/>
  <c r="AB69" i="7"/>
  <c r="Q30" i="3"/>
  <c r="AB30" i="3"/>
  <c r="Q50" i="3"/>
  <c r="AA50" i="3"/>
  <c r="H70" i="3"/>
  <c r="AB70" i="3"/>
  <c r="R11" i="4"/>
  <c r="H30" i="4"/>
  <c r="Q30" i="4"/>
  <c r="AB30" i="4"/>
  <c r="R50" i="4"/>
  <c r="H70" i="4"/>
  <c r="AB70" i="4"/>
  <c r="G11" i="5"/>
  <c r="R11" i="5"/>
  <c r="G30" i="5"/>
  <c r="Q30" i="5"/>
  <c r="AB30" i="5"/>
  <c r="H70" i="5"/>
  <c r="AA70" i="5"/>
  <c r="G11" i="6"/>
  <c r="R11" i="6"/>
  <c r="Q30" i="6"/>
  <c r="AB30" i="6"/>
  <c r="H70" i="6"/>
  <c r="AB70" i="6"/>
  <c r="G11" i="7"/>
  <c r="R11" i="7"/>
  <c r="Q30" i="7"/>
  <c r="R53" i="6"/>
  <c r="H33" i="7"/>
  <c r="R51" i="6"/>
  <c r="H31" i="7"/>
  <c r="R42" i="7"/>
  <c r="Q29" i="4"/>
  <c r="E35" i="3"/>
  <c r="Q62" i="3"/>
  <c r="AA4" i="3"/>
  <c r="N75" i="3"/>
  <c r="Q4" i="4"/>
  <c r="G43" i="7"/>
  <c r="AA63" i="7"/>
  <c r="AA5" i="3"/>
  <c r="H44" i="3"/>
  <c r="H5" i="4"/>
  <c r="R24" i="4"/>
  <c r="AB44" i="4"/>
  <c r="H5" i="5"/>
  <c r="R24" i="5"/>
  <c r="AB44" i="5"/>
  <c r="H5" i="6"/>
  <c r="R24" i="6"/>
  <c r="AB44" i="6"/>
  <c r="H5" i="7"/>
  <c r="R24" i="7"/>
  <c r="R7" i="6"/>
  <c r="H46" i="7"/>
  <c r="G66" i="7"/>
  <c r="R66" i="7"/>
  <c r="Q8" i="3"/>
  <c r="AB8" i="3"/>
  <c r="R27" i="3"/>
  <c r="AA27" i="3"/>
  <c r="H47" i="3"/>
  <c r="AB47" i="3"/>
  <c r="G67" i="3"/>
  <c r="R67" i="3"/>
  <c r="Q8" i="4"/>
  <c r="AB8" i="4"/>
  <c r="H47" i="4"/>
  <c r="AB47" i="4"/>
  <c r="G67" i="4"/>
  <c r="R67" i="4"/>
  <c r="Q8" i="5"/>
  <c r="AB8" i="5"/>
  <c r="AA27" i="5"/>
  <c r="H47" i="5"/>
  <c r="AB47" i="5"/>
  <c r="G67" i="5"/>
  <c r="R67" i="5"/>
  <c r="H8" i="6"/>
  <c r="Q8" i="6"/>
  <c r="AA8" i="6"/>
  <c r="AA27" i="6"/>
  <c r="R67" i="6"/>
  <c r="Q8" i="7"/>
  <c r="AB8" i="7"/>
  <c r="G13" i="7"/>
  <c r="Q48" i="3"/>
  <c r="R9" i="6"/>
  <c r="N55" i="7"/>
  <c r="Y55" i="7"/>
  <c r="X75" i="4"/>
  <c r="G9" i="3"/>
  <c r="AA48" i="3"/>
  <c r="AA68" i="7"/>
  <c r="X17" i="3"/>
  <c r="X56" i="4"/>
  <c r="AA5" i="4"/>
  <c r="Q64" i="3"/>
  <c r="Q64" i="5"/>
  <c r="H44" i="5"/>
  <c r="G44" i="4"/>
  <c r="H44" i="4"/>
  <c r="AB5" i="6"/>
  <c r="AA5" i="6"/>
  <c r="R64" i="6"/>
  <c r="Q64" i="6"/>
  <c r="Q64" i="7"/>
  <c r="R64" i="7"/>
  <c r="R6" i="5"/>
  <c r="M16" i="5"/>
  <c r="Q6" i="5"/>
  <c r="H65" i="5"/>
  <c r="G65" i="5"/>
  <c r="AA25" i="6"/>
  <c r="AB25" i="6"/>
  <c r="R26" i="3"/>
  <c r="Q26" i="3"/>
  <c r="H7" i="4"/>
  <c r="G7" i="4"/>
  <c r="H7" i="6"/>
  <c r="G7" i="6"/>
  <c r="R26" i="6"/>
  <c r="Q26" i="6"/>
  <c r="H7" i="7"/>
  <c r="G7" i="7"/>
  <c r="H8" i="4"/>
  <c r="G8" i="4"/>
  <c r="G43" i="3"/>
  <c r="Q27" i="3"/>
  <c r="AA46" i="4"/>
  <c r="AA47" i="5"/>
  <c r="AB46" i="7"/>
  <c r="X16" i="3"/>
  <c r="G44" i="3"/>
  <c r="R50" i="3"/>
  <c r="R27" i="4"/>
  <c r="AA47" i="4"/>
  <c r="R64" i="5"/>
  <c r="Q6" i="6"/>
  <c r="C75" i="5"/>
  <c r="R63" i="4"/>
  <c r="Q63" i="4"/>
  <c r="AB4" i="5"/>
  <c r="AA4" i="5"/>
  <c r="R64" i="4"/>
  <c r="Q64" i="4"/>
  <c r="AB5" i="5"/>
  <c r="AA5" i="5"/>
  <c r="G44" i="6"/>
  <c r="H44" i="6"/>
  <c r="G44" i="7"/>
  <c r="H44" i="7"/>
  <c r="AB65" i="3"/>
  <c r="AA65" i="3"/>
  <c r="AB25" i="4"/>
  <c r="AA25" i="4"/>
  <c r="G65" i="6"/>
  <c r="H65" i="6"/>
  <c r="G7" i="3"/>
  <c r="H7" i="3"/>
  <c r="R26" i="4"/>
  <c r="Q26" i="4"/>
  <c r="AA46" i="6"/>
  <c r="AB46" i="6"/>
  <c r="R27" i="7"/>
  <c r="Q27" i="7"/>
  <c r="AB48" i="3"/>
  <c r="R26" i="5"/>
  <c r="W16" i="3"/>
  <c r="X76" i="7"/>
  <c r="M17" i="5"/>
  <c r="AB46" i="3"/>
  <c r="Q48" i="4"/>
  <c r="H65" i="4"/>
  <c r="H8" i="5"/>
  <c r="R27" i="5"/>
  <c r="G8" i="6"/>
  <c r="AB47" i="6"/>
  <c r="AA70" i="6"/>
  <c r="Q26" i="7"/>
  <c r="M75" i="6"/>
  <c r="Q63" i="6"/>
  <c r="G8" i="7"/>
  <c r="H8" i="7"/>
  <c r="AB47" i="7"/>
  <c r="AA47" i="7"/>
  <c r="AB68" i="4"/>
  <c r="AA68" i="4"/>
  <c r="H48" i="5"/>
  <c r="G48" i="5"/>
  <c r="AB9" i="6"/>
  <c r="AA9" i="6"/>
  <c r="H68" i="6"/>
  <c r="G68" i="6"/>
  <c r="R9" i="7"/>
  <c r="Q9" i="7"/>
  <c r="R48" i="7"/>
  <c r="Q48" i="7"/>
  <c r="O36" i="3"/>
  <c r="AA29" i="4"/>
  <c r="AB29" i="4"/>
  <c r="O55" i="4"/>
  <c r="R49" i="4"/>
  <c r="N76" i="4"/>
  <c r="AA49" i="5"/>
  <c r="AB49" i="5"/>
  <c r="G49" i="7"/>
  <c r="H49" i="7"/>
  <c r="H30" i="3"/>
  <c r="G30" i="3"/>
  <c r="R50" i="5"/>
  <c r="Q50" i="5"/>
  <c r="R50" i="6"/>
  <c r="Q50" i="6"/>
  <c r="G30" i="7"/>
  <c r="H30" i="7"/>
  <c r="Q50" i="7"/>
  <c r="R50" i="7"/>
  <c r="AB70" i="7"/>
  <c r="AA70" i="7"/>
  <c r="H31" i="4"/>
  <c r="G31" i="4"/>
  <c r="W17" i="7"/>
  <c r="M76" i="7"/>
  <c r="O56" i="6"/>
  <c r="Q63" i="7"/>
  <c r="H22" i="6"/>
  <c r="E35" i="6"/>
  <c r="X75" i="6"/>
  <c r="X76" i="6"/>
  <c r="G27" i="7"/>
  <c r="H27" i="7"/>
  <c r="R47" i="7"/>
  <c r="Q47" i="7"/>
  <c r="Q68" i="5"/>
  <c r="Q69" i="7"/>
  <c r="R69" i="7"/>
  <c r="Q50" i="4"/>
  <c r="Q5" i="4"/>
  <c r="G48" i="4"/>
  <c r="Q70" i="4"/>
  <c r="Q47" i="5"/>
  <c r="AA11" i="6"/>
  <c r="Q47" i="6"/>
  <c r="AA67" i="6"/>
  <c r="R69" i="6"/>
  <c r="Q62" i="5"/>
  <c r="Q62" i="6"/>
  <c r="M76" i="6"/>
  <c r="E16" i="7"/>
  <c r="E17" i="7"/>
  <c r="X75" i="7"/>
  <c r="D55" i="6"/>
  <c r="C35" i="3"/>
  <c r="H9" i="7"/>
  <c r="G9" i="7"/>
  <c r="R70" i="6"/>
  <c r="Q70" i="6"/>
  <c r="G25" i="3"/>
  <c r="Q47" i="3"/>
  <c r="AA68" i="3"/>
  <c r="G68" i="5"/>
  <c r="H49" i="6"/>
  <c r="Q5" i="7"/>
  <c r="AB11" i="7"/>
  <c r="D16" i="4"/>
  <c r="D17" i="5"/>
  <c r="R3" i="5"/>
  <c r="D35" i="7"/>
  <c r="G4" i="3"/>
  <c r="AB23" i="3"/>
  <c r="M56" i="3"/>
  <c r="AA63" i="3"/>
  <c r="R4" i="4"/>
  <c r="X55" i="4"/>
  <c r="H63" i="4"/>
  <c r="AB63" i="4"/>
  <c r="R4" i="5"/>
  <c r="R4" i="6"/>
  <c r="H63" i="6"/>
  <c r="AA63" i="6"/>
  <c r="R4" i="7"/>
  <c r="H63" i="7"/>
  <c r="AB63" i="7"/>
  <c r="R5" i="3"/>
  <c r="G24" i="3"/>
  <c r="AB24" i="3"/>
  <c r="Q44" i="3"/>
  <c r="H64" i="3"/>
  <c r="G24" i="4"/>
  <c r="AB24" i="4"/>
  <c r="H64" i="4"/>
  <c r="R5" i="5"/>
  <c r="G24" i="5"/>
  <c r="AB24" i="5"/>
  <c r="H64" i="5"/>
  <c r="AB24" i="6"/>
  <c r="R44" i="6"/>
  <c r="H64" i="6"/>
  <c r="AB24" i="7"/>
  <c r="H64" i="7"/>
  <c r="AB64" i="7"/>
  <c r="H25" i="3"/>
  <c r="W35" i="3"/>
  <c r="D56" i="3"/>
  <c r="R45" i="3"/>
  <c r="R31" i="5"/>
  <c r="Q3" i="3"/>
  <c r="R62" i="3"/>
  <c r="H3" i="4"/>
  <c r="N17" i="4"/>
  <c r="AB3" i="4"/>
  <c r="D75" i="4"/>
  <c r="O75" i="4"/>
  <c r="R62" i="5"/>
  <c r="H3" i="6"/>
  <c r="D76" i="6"/>
  <c r="O75" i="6"/>
  <c r="C16" i="7"/>
  <c r="Y17" i="7"/>
  <c r="D76" i="7"/>
  <c r="E55" i="3"/>
  <c r="AB43" i="3"/>
  <c r="R63" i="3"/>
  <c r="H4" i="4"/>
  <c r="AB4" i="4"/>
  <c r="H4" i="5"/>
  <c r="E55" i="5"/>
  <c r="R63" i="5"/>
  <c r="H4" i="6"/>
  <c r="AB4" i="6"/>
  <c r="R63" i="6"/>
  <c r="H4" i="7"/>
  <c r="AB4" i="7"/>
  <c r="AB43" i="7"/>
  <c r="R63" i="7"/>
  <c r="AB5" i="3"/>
  <c r="R24" i="3"/>
  <c r="R64" i="3"/>
  <c r="AB45" i="3"/>
  <c r="AB7" i="6"/>
  <c r="H30" i="5"/>
  <c r="AA14" i="6"/>
  <c r="AA6" i="4"/>
  <c r="R25" i="4"/>
  <c r="AB45" i="4"/>
  <c r="H6" i="5"/>
  <c r="AB6" i="5"/>
  <c r="N56" i="5"/>
  <c r="AB45" i="5"/>
  <c r="H6" i="6"/>
  <c r="R25" i="6"/>
  <c r="AB65" i="6"/>
  <c r="O55" i="7"/>
  <c r="G65" i="7"/>
  <c r="AB65" i="7"/>
  <c r="R7" i="3"/>
  <c r="AB26" i="3"/>
  <c r="H66" i="3"/>
  <c r="R7" i="4"/>
  <c r="AA26" i="4"/>
  <c r="R46" i="4"/>
  <c r="H66" i="4"/>
  <c r="H7" i="5"/>
  <c r="O56" i="5"/>
  <c r="H66" i="5"/>
  <c r="AB66" i="5"/>
  <c r="Q7" i="6"/>
  <c r="H26" i="6"/>
  <c r="AA26" i="6"/>
  <c r="R46" i="6"/>
  <c r="G66" i="6"/>
  <c r="AB66" i="6"/>
  <c r="R7" i="7"/>
  <c r="H26" i="7"/>
  <c r="AA26" i="7"/>
  <c r="R46" i="7"/>
  <c r="H66" i="7"/>
  <c r="AB66" i="7"/>
  <c r="H67" i="5"/>
  <c r="AB67" i="5"/>
  <c r="R8" i="6"/>
  <c r="AB8" i="6"/>
  <c r="H27" i="6"/>
  <c r="AB27" i="6"/>
  <c r="G67" i="6"/>
  <c r="R8" i="7"/>
  <c r="AA27" i="7"/>
  <c r="H67" i="7"/>
  <c r="AB67" i="7"/>
  <c r="AB13" i="3"/>
  <c r="G49" i="3"/>
  <c r="R29" i="3"/>
  <c r="Q69" i="4"/>
  <c r="Q49" i="6"/>
  <c r="AA69" i="6"/>
  <c r="Q49" i="7"/>
  <c r="C55" i="7"/>
  <c r="N55" i="3"/>
  <c r="C56" i="3"/>
  <c r="AA69" i="7"/>
  <c r="X76" i="3"/>
  <c r="O35" i="7"/>
  <c r="N56" i="3"/>
  <c r="E76" i="7"/>
  <c r="X56" i="3"/>
  <c r="E36" i="4"/>
  <c r="O76" i="6"/>
  <c r="N35" i="3"/>
  <c r="N35" i="5"/>
  <c r="N35" i="7"/>
  <c r="M16" i="4"/>
  <c r="E35" i="4"/>
  <c r="N75" i="4"/>
  <c r="O35" i="3"/>
  <c r="X75" i="3"/>
  <c r="Y16" i="7"/>
  <c r="H3" i="3"/>
  <c r="O17" i="5"/>
  <c r="H3" i="7"/>
  <c r="H14" i="3"/>
  <c r="G32" i="5"/>
  <c r="G13" i="5"/>
  <c r="H13" i="5"/>
  <c r="X36" i="3"/>
  <c r="Y17" i="3"/>
  <c r="G71" i="7"/>
  <c r="R12" i="5"/>
  <c r="AB30" i="7"/>
  <c r="W36" i="7"/>
  <c r="G30" i="6"/>
  <c r="H30" i="6"/>
  <c r="N76" i="5"/>
  <c r="Q70" i="5"/>
  <c r="E35" i="5"/>
  <c r="Y76" i="4"/>
  <c r="AB50" i="3"/>
  <c r="Y56" i="3"/>
  <c r="G69" i="6"/>
  <c r="H69" i="6"/>
  <c r="H29" i="6"/>
  <c r="G29" i="6"/>
  <c r="AB69" i="5"/>
  <c r="AA69" i="5"/>
  <c r="D56" i="5"/>
  <c r="AB29" i="5"/>
  <c r="AA29" i="5"/>
  <c r="W36" i="5"/>
  <c r="Q29" i="5"/>
  <c r="X76" i="4"/>
  <c r="M75" i="4"/>
  <c r="R69" i="3"/>
  <c r="Q69" i="3"/>
  <c r="N75" i="5"/>
  <c r="X16" i="5"/>
  <c r="AA9" i="5"/>
  <c r="X17" i="5"/>
  <c r="H62" i="3"/>
  <c r="G62" i="3"/>
  <c r="D35" i="4"/>
  <c r="D36" i="4"/>
  <c r="G22" i="4"/>
  <c r="W75" i="4"/>
  <c r="AA62" i="4"/>
  <c r="D35" i="5"/>
  <c r="G22" i="5"/>
  <c r="D17" i="6"/>
  <c r="D16" i="6"/>
  <c r="E76" i="6"/>
  <c r="E75" i="6"/>
  <c r="O16" i="7"/>
  <c r="O17" i="7"/>
  <c r="Y36" i="4"/>
  <c r="AB23" i="4"/>
  <c r="Y35" i="4"/>
  <c r="G23" i="6"/>
  <c r="C35" i="6"/>
  <c r="C36" i="6"/>
  <c r="H23" i="6"/>
  <c r="C35" i="7"/>
  <c r="H23" i="7"/>
  <c r="C36" i="7"/>
  <c r="M55" i="7"/>
  <c r="Q43" i="7"/>
  <c r="M56" i="7"/>
  <c r="W16" i="4"/>
  <c r="AB5" i="4"/>
  <c r="AB64" i="4"/>
  <c r="AA64" i="4"/>
  <c r="N17" i="6"/>
  <c r="Q5" i="6"/>
  <c r="N56" i="4"/>
  <c r="N55" i="4"/>
  <c r="Q45" i="4"/>
  <c r="E16" i="3"/>
  <c r="N36" i="3"/>
  <c r="D55" i="3"/>
  <c r="H24" i="3"/>
  <c r="AA63" i="4"/>
  <c r="H24" i="5"/>
  <c r="E17" i="6"/>
  <c r="G23" i="7"/>
  <c r="AB3" i="3"/>
  <c r="AA3" i="3"/>
  <c r="AB62" i="3"/>
  <c r="Y76" i="3"/>
  <c r="O17" i="4"/>
  <c r="R3" i="4"/>
  <c r="O16" i="4"/>
  <c r="E76" i="4"/>
  <c r="E75" i="4"/>
  <c r="H62" i="4"/>
  <c r="O16" i="6"/>
  <c r="O17" i="6"/>
  <c r="AB62" i="6"/>
  <c r="W75" i="6"/>
  <c r="W76" i="6"/>
  <c r="AA62" i="6"/>
  <c r="H23" i="3"/>
  <c r="G23" i="3"/>
  <c r="M55" i="3"/>
  <c r="R43" i="3"/>
  <c r="E76" i="3"/>
  <c r="E75" i="3"/>
  <c r="G23" i="4"/>
  <c r="C36" i="4"/>
  <c r="C35" i="4"/>
  <c r="M56" i="4"/>
  <c r="M55" i="4"/>
  <c r="R43" i="4"/>
  <c r="Q43" i="4"/>
  <c r="Y35" i="5"/>
  <c r="Y36" i="5"/>
  <c r="AB23" i="5"/>
  <c r="Y35" i="6"/>
  <c r="AB23" i="6"/>
  <c r="Y36" i="6"/>
  <c r="X56" i="6"/>
  <c r="X55" i="6"/>
  <c r="Y36" i="7"/>
  <c r="Y35" i="7"/>
  <c r="AB23" i="7"/>
  <c r="AB64" i="3"/>
  <c r="AA64" i="3"/>
  <c r="G24" i="7"/>
  <c r="H24" i="7"/>
  <c r="H45" i="4"/>
  <c r="C55" i="4"/>
  <c r="G45" i="4"/>
  <c r="E17" i="3"/>
  <c r="W17" i="3"/>
  <c r="Y35" i="3"/>
  <c r="Y75" i="3"/>
  <c r="H63" i="3"/>
  <c r="D17" i="4"/>
  <c r="X35" i="4"/>
  <c r="AB62" i="4"/>
  <c r="D36" i="5"/>
  <c r="Q45" i="5"/>
  <c r="N55" i="5"/>
  <c r="O36" i="6"/>
  <c r="X17" i="7"/>
  <c r="E75" i="7"/>
  <c r="W76" i="5"/>
  <c r="AB62" i="5"/>
  <c r="AA62" i="5"/>
  <c r="M55" i="5"/>
  <c r="R43" i="5"/>
  <c r="Q43" i="5"/>
  <c r="AB63" i="5"/>
  <c r="AA63" i="5"/>
  <c r="M55" i="6"/>
  <c r="R43" i="6"/>
  <c r="M56" i="6"/>
  <c r="Q43" i="6"/>
  <c r="X55" i="7"/>
  <c r="X56" i="7"/>
  <c r="R44" i="4"/>
  <c r="Q44" i="4"/>
  <c r="O16" i="3"/>
  <c r="C36" i="3"/>
  <c r="Y36" i="3"/>
  <c r="X55" i="3"/>
  <c r="H4" i="3"/>
  <c r="Q43" i="3"/>
  <c r="W17" i="4"/>
  <c r="H23" i="4"/>
  <c r="AA65" i="4"/>
  <c r="M56" i="5"/>
  <c r="AB63" i="6"/>
  <c r="R43" i="7"/>
  <c r="H62" i="5"/>
  <c r="E76" i="5"/>
  <c r="D35" i="6"/>
  <c r="D36" i="6"/>
  <c r="G22" i="6"/>
  <c r="D17" i="7"/>
  <c r="D16" i="7"/>
  <c r="G22" i="7"/>
  <c r="D36" i="7"/>
  <c r="AA62" i="7"/>
  <c r="W75" i="7"/>
  <c r="AB62" i="7"/>
  <c r="N35" i="4"/>
  <c r="N36" i="4"/>
  <c r="Q23" i="4"/>
  <c r="C36" i="5"/>
  <c r="C35" i="5"/>
  <c r="H23" i="5"/>
  <c r="X56" i="5"/>
  <c r="X55" i="5"/>
  <c r="R44" i="5"/>
  <c r="Q44" i="5"/>
  <c r="AB64" i="5"/>
  <c r="AA64" i="5"/>
  <c r="H24" i="6"/>
  <c r="G24" i="6"/>
  <c r="AA64" i="6"/>
  <c r="AB64" i="6"/>
  <c r="Q44" i="7"/>
  <c r="R44" i="7"/>
  <c r="AB25" i="3"/>
  <c r="AA25" i="3"/>
  <c r="R6" i="4"/>
  <c r="M17" i="4"/>
  <c r="Q6" i="4"/>
  <c r="X16" i="4"/>
  <c r="X17" i="4"/>
  <c r="E16" i="4"/>
  <c r="E17" i="4"/>
  <c r="AB6" i="3"/>
  <c r="AA6" i="3"/>
  <c r="M76" i="4"/>
  <c r="R65" i="4"/>
  <c r="Q65" i="4"/>
  <c r="E17" i="5"/>
  <c r="E16" i="5"/>
  <c r="W16" i="5"/>
  <c r="AA6" i="5"/>
  <c r="W17" i="5"/>
  <c r="R25" i="5"/>
  <c r="O35" i="5"/>
  <c r="C56" i="5"/>
  <c r="H45" i="5"/>
  <c r="C55" i="5"/>
  <c r="G45" i="5"/>
  <c r="M75" i="5"/>
  <c r="R65" i="5"/>
  <c r="M76" i="5"/>
  <c r="Q65" i="5"/>
  <c r="X75" i="5"/>
  <c r="AA65" i="5"/>
  <c r="X76" i="5"/>
  <c r="W17" i="6"/>
  <c r="W16" i="6"/>
  <c r="AA6" i="6"/>
  <c r="AB6" i="6"/>
  <c r="H45" i="6"/>
  <c r="C55" i="6"/>
  <c r="G45" i="6"/>
  <c r="N56" i="6"/>
  <c r="N55" i="6"/>
  <c r="Y55" i="6"/>
  <c r="AB45" i="6"/>
  <c r="Y56" i="6"/>
  <c r="Q65" i="6"/>
  <c r="N75" i="6"/>
  <c r="Q6" i="7"/>
  <c r="R6" i="7"/>
  <c r="E36" i="7"/>
  <c r="H25" i="7"/>
  <c r="W35" i="7"/>
  <c r="AB25" i="7"/>
  <c r="D56" i="7"/>
  <c r="G45" i="7"/>
  <c r="D55" i="7"/>
  <c r="Q7" i="3"/>
  <c r="C75" i="4"/>
  <c r="Y75" i="4"/>
  <c r="AA7" i="5"/>
  <c r="E36" i="5"/>
  <c r="O55" i="5"/>
  <c r="Q66" i="5"/>
  <c r="W35" i="6"/>
  <c r="G66" i="4"/>
  <c r="AB66" i="4"/>
  <c r="C76" i="4"/>
  <c r="AA26" i="5"/>
  <c r="W35" i="5"/>
  <c r="Y75" i="5"/>
  <c r="AB26" i="7"/>
  <c r="C76" i="5"/>
  <c r="Y76" i="5"/>
  <c r="C75" i="6"/>
  <c r="Y75" i="6"/>
  <c r="M17" i="7"/>
  <c r="N75" i="7"/>
  <c r="E35" i="7"/>
  <c r="O56" i="7"/>
  <c r="H26" i="5"/>
  <c r="AB26" i="5"/>
  <c r="R46" i="5"/>
  <c r="D55" i="5"/>
  <c r="X16" i="6"/>
  <c r="E36" i="6"/>
  <c r="H66" i="6"/>
  <c r="Y75" i="7"/>
  <c r="AB26" i="6"/>
  <c r="W36" i="6"/>
  <c r="D56" i="6"/>
  <c r="G46" i="6"/>
  <c r="W36" i="3"/>
  <c r="C76" i="3"/>
  <c r="W35" i="4"/>
  <c r="N35" i="6"/>
  <c r="M16" i="7"/>
  <c r="G65" i="3"/>
  <c r="O55" i="6"/>
  <c r="W75" i="3"/>
  <c r="N36" i="5"/>
  <c r="M17" i="6"/>
  <c r="X17" i="6"/>
  <c r="N76" i="6"/>
  <c r="Y76" i="6"/>
  <c r="R3" i="7"/>
  <c r="N36" i="7"/>
  <c r="C76" i="7"/>
  <c r="Q6" i="3"/>
  <c r="G6" i="7"/>
  <c r="Q47" i="4"/>
  <c r="R3" i="6"/>
  <c r="M16" i="6"/>
  <c r="N36" i="6"/>
  <c r="Q22" i="7"/>
  <c r="H62" i="7"/>
  <c r="G3" i="3"/>
  <c r="O35" i="4"/>
  <c r="N16" i="6"/>
  <c r="Q4" i="3"/>
  <c r="Q23" i="3"/>
  <c r="AA23" i="3"/>
  <c r="G63" i="4"/>
  <c r="Q4" i="5"/>
  <c r="Q23" i="5"/>
  <c r="AA23" i="5"/>
  <c r="AA43" i="5"/>
  <c r="G63" i="5"/>
  <c r="Q4" i="6"/>
  <c r="AA23" i="6"/>
  <c r="G63" i="6"/>
  <c r="Q4" i="7"/>
  <c r="X36" i="7"/>
  <c r="AA24" i="3"/>
  <c r="G64" i="3"/>
  <c r="C56" i="7"/>
  <c r="N56" i="7"/>
  <c r="Y56" i="7"/>
  <c r="Y56" i="5"/>
  <c r="G47" i="4"/>
  <c r="E16" i="6"/>
  <c r="X16" i="7"/>
  <c r="H47" i="6"/>
  <c r="G47" i="6"/>
  <c r="C56" i="6"/>
  <c r="C56" i="4"/>
  <c r="AA27" i="4"/>
  <c r="W36" i="4"/>
  <c r="AB27" i="4"/>
  <c r="C75" i="3"/>
  <c r="H67" i="3"/>
  <c r="G8" i="3"/>
  <c r="H8" i="3"/>
  <c r="C17" i="3"/>
  <c r="W16" i="7"/>
  <c r="Y55" i="5"/>
  <c r="AB46" i="5"/>
  <c r="AA66" i="4"/>
  <c r="O76" i="3"/>
  <c r="AA66" i="3"/>
  <c r="AB66" i="3"/>
  <c r="W76" i="3"/>
  <c r="G66" i="3"/>
  <c r="Y76" i="7"/>
  <c r="W76" i="7"/>
  <c r="Q65" i="7"/>
  <c r="H65" i="7"/>
  <c r="AA45" i="7"/>
  <c r="R45" i="7"/>
  <c r="E55" i="7"/>
  <c r="AA25" i="7"/>
  <c r="R25" i="7"/>
  <c r="AB6" i="7"/>
  <c r="C76" i="6"/>
  <c r="Q45" i="6"/>
  <c r="Y16" i="6"/>
  <c r="W75" i="5"/>
  <c r="E75" i="5"/>
  <c r="O16" i="5"/>
  <c r="D16" i="5"/>
  <c r="W76" i="4"/>
  <c r="D76" i="4"/>
  <c r="O56" i="4"/>
  <c r="X36" i="4"/>
  <c r="H6" i="4"/>
  <c r="G6" i="4"/>
  <c r="Q65" i="3"/>
  <c r="R65" i="3"/>
  <c r="M76" i="3"/>
  <c r="M75" i="3"/>
  <c r="O17" i="3"/>
  <c r="N16" i="3"/>
  <c r="R62" i="4"/>
  <c r="O76" i="4"/>
  <c r="N17" i="5"/>
  <c r="N16" i="5"/>
  <c r="D76" i="5"/>
  <c r="D75" i="5"/>
  <c r="C16" i="6"/>
  <c r="G3" i="6"/>
  <c r="N16" i="7"/>
  <c r="Q3" i="7"/>
  <c r="O75" i="7"/>
  <c r="O76" i="7"/>
  <c r="R62" i="7"/>
  <c r="G63" i="3"/>
  <c r="D76" i="3"/>
  <c r="D75" i="3"/>
  <c r="R23" i="4"/>
  <c r="M36" i="4"/>
  <c r="W56" i="4"/>
  <c r="AB43" i="4"/>
  <c r="M36" i="6"/>
  <c r="M35" i="6"/>
  <c r="E56" i="6"/>
  <c r="H43" i="6"/>
  <c r="E55" i="6"/>
  <c r="W56" i="6"/>
  <c r="AB43" i="6"/>
  <c r="W55" i="6"/>
  <c r="AA43" i="6"/>
  <c r="R23" i="7"/>
  <c r="M36" i="7"/>
  <c r="Q23" i="7"/>
  <c r="AA44" i="3"/>
  <c r="AB44" i="3"/>
  <c r="D17" i="3"/>
  <c r="M17" i="3"/>
  <c r="M35" i="3"/>
  <c r="X35" i="3"/>
  <c r="D36" i="3"/>
  <c r="W56" i="3"/>
  <c r="Q5" i="3"/>
  <c r="AA22" i="3"/>
  <c r="AA23" i="4"/>
  <c r="M35" i="4"/>
  <c r="AA43" i="4"/>
  <c r="G62" i="4"/>
  <c r="Q3" i="5"/>
  <c r="W55" i="5"/>
  <c r="Q3" i="6"/>
  <c r="C17" i="6"/>
  <c r="O35" i="6"/>
  <c r="AB3" i="7"/>
  <c r="C17" i="7"/>
  <c r="N17" i="7"/>
  <c r="R22" i="7"/>
  <c r="W55" i="7"/>
  <c r="W56" i="7"/>
  <c r="E56" i="4"/>
  <c r="H43" i="4"/>
  <c r="E56" i="5"/>
  <c r="H43" i="5"/>
  <c r="N17" i="3"/>
  <c r="O36" i="4"/>
  <c r="O36" i="5"/>
  <c r="Q23" i="6"/>
  <c r="G4" i="7"/>
  <c r="AA23" i="7"/>
  <c r="X35" i="7"/>
  <c r="D75" i="7"/>
  <c r="C17" i="5"/>
  <c r="H3" i="5"/>
  <c r="G3" i="5"/>
  <c r="C16" i="5"/>
  <c r="Y17" i="5"/>
  <c r="AB3" i="5"/>
  <c r="Y16" i="5"/>
  <c r="O76" i="5"/>
  <c r="O75" i="5"/>
  <c r="D75" i="6"/>
  <c r="G62" i="6"/>
  <c r="AB4" i="3"/>
  <c r="Y16" i="3"/>
  <c r="M36" i="5"/>
  <c r="M35" i="5"/>
  <c r="AB43" i="5"/>
  <c r="W56" i="5"/>
  <c r="C16" i="3"/>
  <c r="W55" i="3"/>
  <c r="E56" i="3"/>
  <c r="O75" i="3"/>
  <c r="H43" i="3"/>
  <c r="AA43" i="3"/>
  <c r="AA62" i="3"/>
  <c r="G3" i="4"/>
  <c r="G4" i="4"/>
  <c r="D16" i="3"/>
  <c r="M16" i="3"/>
  <c r="D35" i="3"/>
  <c r="M36" i="3"/>
  <c r="H5" i="3"/>
  <c r="R3" i="3"/>
  <c r="R23" i="3"/>
  <c r="Q3" i="4"/>
  <c r="N16" i="4"/>
  <c r="Y16" i="4"/>
  <c r="Y17" i="4"/>
  <c r="R22" i="4"/>
  <c r="E55" i="4"/>
  <c r="W55" i="4"/>
  <c r="R23" i="5"/>
  <c r="G62" i="5"/>
  <c r="AB3" i="6"/>
  <c r="Y17" i="6"/>
  <c r="R23" i="6"/>
  <c r="R62" i="6"/>
  <c r="G3" i="7"/>
  <c r="M35" i="7"/>
  <c r="O36" i="7"/>
  <c r="AA43" i="7"/>
  <c r="C17" i="4"/>
  <c r="X35" i="5"/>
  <c r="AA3" i="6"/>
  <c r="H62" i="6"/>
  <c r="G62" i="7"/>
  <c r="C75" i="7"/>
  <c r="Y55" i="4"/>
  <c r="O56" i="3"/>
  <c r="AA24" i="5"/>
  <c r="X36" i="5"/>
  <c r="Y56" i="4"/>
  <c r="C16" i="4"/>
  <c r="R44" i="3"/>
  <c r="O55" i="3"/>
  <c r="H43" i="7"/>
  <c r="E56" i="7"/>
  <c r="X36" i="6"/>
  <c r="D55" i="4"/>
  <c r="D56" i="4"/>
  <c r="G43" i="4"/>
  <c r="M75" i="7"/>
  <c r="AA3" i="7"/>
  <c r="X35" i="6"/>
  <c r="AA22" i="6"/>
  <c r="AB42" i="3"/>
  <c r="Y55" i="3"/>
  <c r="H53" i="1"/>
  <c r="I53" i="1"/>
  <c r="H73" i="1"/>
  <c r="I73" i="1"/>
  <c r="H33" i="1"/>
  <c r="I33" i="1"/>
  <c r="H11" i="1"/>
  <c r="I11" i="1"/>
  <c r="H14" i="1"/>
  <c r="I14" i="1"/>
  <c r="H55" i="7" l="1"/>
  <c r="R17" i="4"/>
  <c r="AA36" i="7"/>
  <c r="Q76" i="5"/>
  <c r="Q56" i="6"/>
  <c r="H16" i="7"/>
  <c r="R16" i="7"/>
  <c r="H16" i="6"/>
  <c r="AB35" i="7"/>
  <c r="Q56" i="3"/>
  <c r="Q35" i="5"/>
  <c r="R76" i="7"/>
  <c r="AB56" i="7"/>
  <c r="G76" i="7"/>
  <c r="AA35" i="7"/>
  <c r="H55" i="3"/>
  <c r="G17" i="7"/>
  <c r="AA17" i="5"/>
  <c r="Q75" i="6"/>
  <c r="AB56" i="5"/>
  <c r="H16" i="3"/>
  <c r="Q35" i="6"/>
  <c r="Q17" i="3"/>
  <c r="G75" i="7"/>
  <c r="R55" i="4"/>
  <c r="H17" i="4"/>
  <c r="H56" i="6"/>
  <c r="G56" i="3"/>
  <c r="AB16" i="4"/>
  <c r="Q17" i="7"/>
  <c r="R17" i="7"/>
  <c r="G16" i="3"/>
  <c r="AA55" i="4"/>
  <c r="G16" i="5"/>
  <c r="Q17" i="6"/>
  <c r="AB17" i="7"/>
  <c r="AA16" i="6"/>
  <c r="H55" i="4"/>
  <c r="Q16" i="5"/>
  <c r="H36" i="3"/>
  <c r="AA36" i="4"/>
  <c r="H35" i="5"/>
  <c r="Q75" i="3"/>
  <c r="H17" i="7"/>
  <c r="R76" i="5"/>
  <c r="AB35" i="6"/>
  <c r="AA76" i="6"/>
  <c r="AB55" i="7"/>
  <c r="G55" i="6"/>
  <c r="H17" i="6"/>
  <c r="G56" i="7"/>
  <c r="R16" i="6"/>
  <c r="Q36" i="4"/>
  <c r="Q75" i="5"/>
  <c r="Q56" i="4"/>
  <c r="H56" i="3"/>
  <c r="AA55" i="5"/>
  <c r="Q36" i="5"/>
  <c r="H36" i="7"/>
  <c r="AA35" i="4"/>
  <c r="R35" i="6"/>
  <c r="H35" i="4"/>
  <c r="H35" i="3"/>
  <c r="G36" i="3"/>
  <c r="Q56" i="5"/>
  <c r="AB16" i="3"/>
  <c r="R75" i="4"/>
  <c r="R55" i="5"/>
  <c r="AA16" i="3"/>
  <c r="AA56" i="6"/>
  <c r="AA56" i="5"/>
  <c r="R56" i="3"/>
  <c r="AB56" i="3"/>
  <c r="Q35" i="7"/>
  <c r="H36" i="4"/>
  <c r="Q55" i="3"/>
  <c r="AA56" i="4"/>
  <c r="AA56" i="7"/>
  <c r="G75" i="6"/>
  <c r="AB55" i="4"/>
  <c r="Q35" i="3"/>
  <c r="H76" i="5"/>
  <c r="Q36" i="6"/>
  <c r="AA35" i="6"/>
  <c r="AA55" i="6"/>
  <c r="H35" i="7"/>
  <c r="R35" i="5"/>
  <c r="R35" i="3"/>
  <c r="G17" i="4"/>
  <c r="H16" i="5"/>
  <c r="AB56" i="6"/>
  <c r="AB17" i="4"/>
  <c r="AA16" i="7"/>
  <c r="G16" i="6"/>
  <c r="H36" i="6"/>
  <c r="Q36" i="3"/>
  <c r="AB56" i="4"/>
  <c r="G17" i="5"/>
  <c r="H36" i="5"/>
  <c r="R16" i="3"/>
  <c r="AA75" i="3"/>
  <c r="G75" i="4"/>
  <c r="Q76" i="3"/>
  <c r="G56" i="5"/>
  <c r="Q35" i="4"/>
  <c r="G35" i="5"/>
  <c r="G16" i="4"/>
  <c r="G16" i="7"/>
  <c r="R36" i="5"/>
  <c r="R36" i="6"/>
  <c r="AA17" i="7"/>
  <c r="AB55" i="5"/>
  <c r="G17" i="3"/>
  <c r="R16" i="4"/>
  <c r="AA17" i="3"/>
  <c r="R75" i="7"/>
  <c r="H75" i="5"/>
  <c r="H75" i="4"/>
  <c r="AA55" i="7"/>
  <c r="AA75" i="5"/>
  <c r="AB75" i="3"/>
  <c r="Q16" i="6"/>
  <c r="R76" i="3"/>
  <c r="AB35" i="5"/>
  <c r="AB36" i="4"/>
  <c r="AB36" i="3"/>
  <c r="Q16" i="4"/>
  <c r="G55" i="7"/>
  <c r="G76" i="3"/>
  <c r="AB76" i="7"/>
  <c r="R55" i="6"/>
  <c r="G35" i="3"/>
  <c r="G76" i="5"/>
  <c r="G55" i="5"/>
  <c r="Q76" i="6"/>
  <c r="H56" i="4"/>
  <c r="AA76" i="7"/>
  <c r="AA55" i="3"/>
  <c r="R56" i="7"/>
  <c r="AB75" i="4"/>
  <c r="AA76" i="4"/>
  <c r="H16" i="4"/>
  <c r="AB36" i="6"/>
  <c r="R16" i="5"/>
  <c r="H75" i="3"/>
  <c r="G56" i="6"/>
  <c r="R76" i="4"/>
  <c r="R76" i="6"/>
  <c r="AA17" i="4"/>
  <c r="AA75" i="7"/>
  <c r="G75" i="5"/>
  <c r="Q55" i="7"/>
  <c r="Q16" i="3"/>
  <c r="AA75" i="4"/>
  <c r="AA16" i="4"/>
  <c r="H76" i="4"/>
  <c r="Q56" i="7"/>
  <c r="H55" i="5"/>
  <c r="AA35" i="3"/>
  <c r="H35" i="6"/>
  <c r="R75" i="6"/>
  <c r="Q16" i="7"/>
  <c r="AB36" i="7"/>
  <c r="R55" i="3"/>
  <c r="G55" i="4"/>
  <c r="AA56" i="3"/>
  <c r="Q17" i="4"/>
  <c r="AB35" i="4"/>
  <c r="AB16" i="6"/>
  <c r="Q75" i="7"/>
  <c r="R56" i="6"/>
  <c r="Q55" i="5"/>
  <c r="R75" i="5"/>
  <c r="R75" i="3"/>
  <c r="AB16" i="5"/>
  <c r="AB35" i="3"/>
  <c r="R56" i="4"/>
  <c r="Q55" i="4"/>
  <c r="H75" i="6"/>
  <c r="H55" i="6"/>
  <c r="R56" i="5"/>
  <c r="R17" i="5"/>
  <c r="AA16" i="5"/>
  <c r="G55" i="3"/>
  <c r="R36" i="3"/>
  <c r="G56" i="4"/>
  <c r="AB17" i="6"/>
  <c r="AB76" i="4"/>
  <c r="AA17" i="6"/>
  <c r="R55" i="7"/>
  <c r="R36" i="4"/>
  <c r="AB16" i="7"/>
  <c r="H75" i="7"/>
  <c r="R17" i="6"/>
  <c r="AB75" i="7"/>
  <c r="G35" i="7"/>
  <c r="AB76" i="6"/>
  <c r="G75" i="3"/>
  <c r="AA36" i="5"/>
  <c r="AB76" i="5"/>
  <c r="Q55" i="6"/>
  <c r="R35" i="7"/>
  <c r="Q36" i="7"/>
  <c r="AA76" i="5"/>
  <c r="AA75" i="6"/>
  <c r="G36" i="4"/>
  <c r="H76" i="3"/>
  <c r="AB36" i="5"/>
  <c r="H17" i="3"/>
  <c r="Q76" i="4"/>
  <c r="AB76" i="3"/>
  <c r="AB75" i="5"/>
  <c r="Q75" i="4"/>
  <c r="AA35" i="5"/>
  <c r="G35" i="6"/>
  <c r="AB55" i="3"/>
  <c r="G36" i="5"/>
  <c r="R35" i="4"/>
  <c r="G36" i="6"/>
  <c r="AA36" i="6"/>
  <c r="G35" i="4"/>
  <c r="R36" i="7"/>
  <c r="G17" i="6"/>
  <c r="H76" i="7"/>
  <c r="G76" i="6"/>
  <c r="AB75" i="6"/>
  <c r="Q17" i="5"/>
  <c r="AB17" i="5"/>
  <c r="G36" i="7"/>
  <c r="R17" i="3"/>
  <c r="AB17" i="3"/>
  <c r="H76" i="6"/>
  <c r="H56" i="7"/>
  <c r="Q76" i="7"/>
  <c r="AB55" i="6"/>
  <c r="AA76" i="3"/>
  <c r="H56" i="5"/>
  <c r="AA36" i="3"/>
  <c r="H17" i="5"/>
  <c r="G76" i="4"/>
  <c r="H9" i="1"/>
  <c r="I9" i="1"/>
  <c r="H31" i="1"/>
  <c r="I31" i="1"/>
  <c r="H32" i="1"/>
  <c r="I32" i="1"/>
  <c r="H51" i="1"/>
  <c r="I51" i="1"/>
  <c r="I72" i="1" l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52" i="1"/>
  <c r="H52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30" i="1"/>
  <c r="H30" i="1"/>
  <c r="I29" i="1"/>
  <c r="H29" i="1"/>
  <c r="I27" i="1"/>
  <c r="H27" i="1"/>
  <c r="I26" i="1"/>
  <c r="H26" i="1"/>
  <c r="I25" i="1"/>
  <c r="H25" i="1"/>
  <c r="I24" i="1"/>
  <c r="H24" i="1"/>
  <c r="I23" i="1"/>
  <c r="H23" i="1"/>
  <c r="I22" i="1"/>
  <c r="H22" i="1"/>
  <c r="H3" i="1"/>
  <c r="H4" i="1"/>
  <c r="I4" i="1"/>
  <c r="H5" i="1"/>
  <c r="I5" i="1"/>
  <c r="H6" i="1"/>
  <c r="I6" i="1"/>
  <c r="H7" i="1"/>
  <c r="I7" i="1"/>
  <c r="H8" i="1"/>
  <c r="I8" i="1"/>
  <c r="H10" i="1"/>
  <c r="I10" i="1"/>
  <c r="H12" i="1"/>
  <c r="I12" i="1"/>
  <c r="H13" i="1"/>
  <c r="I13" i="1"/>
  <c r="I3" i="1"/>
  <c r="I36" i="1"/>
  <c r="H75" i="1" l="1"/>
  <c r="H17" i="1"/>
  <c r="H56" i="1"/>
  <c r="H36" i="1"/>
  <c r="H35" i="1"/>
  <c r="I75" i="1"/>
  <c r="I56" i="1"/>
  <c r="H76" i="1"/>
  <c r="I17" i="1"/>
  <c r="I76" i="1"/>
  <c r="H16" i="1"/>
  <c r="I16" i="1"/>
  <c r="H55" i="1"/>
  <c r="I55" i="1"/>
  <c r="I35" i="1"/>
  <c r="K11" i="1"/>
  <c r="L11" i="1"/>
  <c r="M11" i="1"/>
  <c r="K30" i="1"/>
  <c r="L30" i="1"/>
  <c r="M30" i="1"/>
  <c r="K50" i="1"/>
  <c r="L50" i="1"/>
  <c r="M50" i="1"/>
  <c r="K70" i="1"/>
  <c r="L70" i="1"/>
  <c r="M70" i="1"/>
  <c r="F76" i="1"/>
  <c r="E76" i="1"/>
  <c r="D76" i="1"/>
  <c r="F75" i="1"/>
  <c r="E75" i="1"/>
  <c r="D75" i="1"/>
  <c r="M73" i="1"/>
  <c r="L73" i="1"/>
  <c r="K73" i="1"/>
  <c r="M72" i="1"/>
  <c r="L72" i="1"/>
  <c r="K72" i="1"/>
  <c r="M71" i="1"/>
  <c r="L71" i="1"/>
  <c r="K71" i="1"/>
  <c r="M69" i="1"/>
  <c r="L69" i="1"/>
  <c r="K69" i="1"/>
  <c r="M68" i="1"/>
  <c r="L68" i="1"/>
  <c r="K68" i="1"/>
  <c r="M67" i="1"/>
  <c r="L67" i="1"/>
  <c r="K67" i="1"/>
  <c r="M66" i="1"/>
  <c r="L66" i="1"/>
  <c r="K66" i="1"/>
  <c r="M65" i="1"/>
  <c r="L65" i="1"/>
  <c r="K65" i="1"/>
  <c r="M64" i="1"/>
  <c r="L64" i="1"/>
  <c r="K64" i="1"/>
  <c r="M63" i="1"/>
  <c r="L63" i="1"/>
  <c r="K63" i="1"/>
  <c r="M62" i="1"/>
  <c r="L62" i="1"/>
  <c r="K62" i="1"/>
  <c r="F56" i="1"/>
  <c r="E56" i="1"/>
  <c r="D56" i="1"/>
  <c r="F55" i="1"/>
  <c r="E55" i="1"/>
  <c r="D55" i="1"/>
  <c r="M53" i="1"/>
  <c r="L53" i="1"/>
  <c r="K53" i="1"/>
  <c r="M52" i="1"/>
  <c r="L52" i="1"/>
  <c r="K52" i="1"/>
  <c r="M51" i="1"/>
  <c r="L51" i="1"/>
  <c r="K51" i="1"/>
  <c r="M49" i="1"/>
  <c r="L49" i="1"/>
  <c r="K49" i="1"/>
  <c r="M48" i="1"/>
  <c r="L48" i="1"/>
  <c r="K48" i="1"/>
  <c r="M47" i="1"/>
  <c r="L47" i="1"/>
  <c r="K47" i="1"/>
  <c r="M46" i="1"/>
  <c r="L46" i="1"/>
  <c r="K46" i="1"/>
  <c r="M45" i="1"/>
  <c r="L45" i="1"/>
  <c r="K45" i="1"/>
  <c r="M44" i="1"/>
  <c r="L44" i="1"/>
  <c r="K44" i="1"/>
  <c r="M43" i="1"/>
  <c r="L43" i="1"/>
  <c r="K43" i="1"/>
  <c r="M42" i="1"/>
  <c r="L42" i="1"/>
  <c r="K42" i="1"/>
  <c r="F36" i="1"/>
  <c r="E36" i="1"/>
  <c r="D36" i="1"/>
  <c r="F35" i="1"/>
  <c r="E35" i="1"/>
  <c r="D35" i="1"/>
  <c r="M33" i="1"/>
  <c r="L33" i="1"/>
  <c r="K33" i="1"/>
  <c r="M32" i="1"/>
  <c r="L32" i="1"/>
  <c r="K32" i="1"/>
  <c r="M31" i="1"/>
  <c r="L31" i="1"/>
  <c r="K31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E16" i="1"/>
  <c r="F16" i="1"/>
  <c r="E17" i="1"/>
  <c r="F17" i="1"/>
  <c r="D17" i="1"/>
  <c r="D16" i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2" i="1"/>
  <c r="L12" i="1"/>
  <c r="M12" i="1"/>
  <c r="K13" i="1"/>
  <c r="L13" i="1"/>
  <c r="M13" i="1"/>
  <c r="K14" i="1"/>
  <c r="L14" i="1"/>
  <c r="M14" i="1"/>
  <c r="M3" i="1"/>
  <c r="L3" i="1"/>
  <c r="K3" i="1"/>
</calcChain>
</file>

<file path=xl/sharedStrings.xml><?xml version="1.0" encoding="utf-8"?>
<sst xmlns="http://schemas.openxmlformats.org/spreadsheetml/2006/main" count="685" uniqueCount="38">
  <si>
    <t>No stretch</t>
  </si>
  <si>
    <t>Subject</t>
  </si>
  <si>
    <t>MVC Pre</t>
  </si>
  <si>
    <t>MVC Post</t>
  </si>
  <si>
    <t>MVC 10 Post</t>
  </si>
  <si>
    <t>120s</t>
  </si>
  <si>
    <t>60s</t>
  </si>
  <si>
    <t>30s</t>
  </si>
  <si>
    <t>Order</t>
  </si>
  <si>
    <t>% change</t>
  </si>
  <si>
    <t>SD Pre</t>
  </si>
  <si>
    <t>SD Post</t>
  </si>
  <si>
    <t>SD 10 mins post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</si>
  <si>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 xml:space="preserve"> change</t>
    </r>
  </si>
  <si>
    <t>Pre/post</t>
  </si>
  <si>
    <t>Pre/10 mins post</t>
  </si>
  <si>
    <t>30s stretch</t>
  </si>
  <si>
    <t>60s stretch</t>
  </si>
  <si>
    <t>120s stretch</t>
  </si>
  <si>
    <t>Max.</t>
  </si>
  <si>
    <t>arEMG Pre</t>
  </si>
  <si>
    <t>arEMG Post</t>
  </si>
  <si>
    <t>arEMG 10 mins post</t>
  </si>
  <si>
    <t>Age</t>
  </si>
  <si>
    <t>Height</t>
  </si>
  <si>
    <t>Weight</t>
  </si>
  <si>
    <t>CV Pre</t>
  </si>
  <si>
    <t>CV Post</t>
  </si>
  <si>
    <t>CV 10 mins post</t>
  </si>
  <si>
    <t>ApEn Pre</t>
  </si>
  <si>
    <t>ApEn Post</t>
  </si>
  <si>
    <t>ApEn 10 mins post</t>
  </si>
  <si>
    <t>SampEn Pre</t>
  </si>
  <si>
    <t>SampEn Post</t>
  </si>
  <si>
    <t>SampEn 10 mins post</t>
  </si>
  <si>
    <t>DFA Pre</t>
  </si>
  <si>
    <t>DFA Post</t>
  </si>
  <si>
    <t>DFA 10 mins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</si>
</sst>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BFCA-06C9-45CC-9FFA-2C80FFD7F0C1}">
  <dimension ref="A1:D16"/>
  <sheetViews>
    <sheetView tabSelected="1" workbookViewId="0"/>
  </sheetViews>
  <sheetFormatPr defaultRowHeight="15" x14ac:dyDescent="0.25"/>
  <sheetData>
    <row r="1" spans="1:4" x14ac:dyDescent="0.25">
      <c r="A1" t="s">
        <v>1</v>
      </c>
      <c r="B1" t="s">
        <v>23</v>
      </c>
      <c r="C1" t="s">
        <v>24</v>
      </c>
      <c r="D1" t="s">
        <v>25</v>
      </c>
    </row>
    <row r="2" spans="1:4" x14ac:dyDescent="0.25">
      <c r="A2">
        <v>1</v>
      </c>
      <c r="B2">
        <v>33</v>
      </c>
      <c r="C2">
        <v>1.73</v>
      </c>
      <c r="D2">
        <v>73.5</v>
      </c>
    </row>
    <row r="3" spans="1:4" x14ac:dyDescent="0.25">
      <c r="A3">
        <v>2</v>
      </c>
      <c r="B3">
        <v>21</v>
      </c>
      <c r="C3">
        <v>1.75</v>
      </c>
      <c r="D3">
        <v>68.400000000000006</v>
      </c>
    </row>
    <row r="4" spans="1:4" x14ac:dyDescent="0.25">
      <c r="A4">
        <v>3</v>
      </c>
      <c r="B4">
        <v>20</v>
      </c>
      <c r="C4">
        <v>1.84</v>
      </c>
      <c r="D4">
        <v>85.6</v>
      </c>
    </row>
    <row r="5" spans="1:4" x14ac:dyDescent="0.25">
      <c r="A5">
        <v>4</v>
      </c>
      <c r="B5">
        <v>19</v>
      </c>
      <c r="C5" s="2">
        <v>1.8</v>
      </c>
      <c r="D5">
        <v>87.1</v>
      </c>
    </row>
    <row r="6" spans="1:4" x14ac:dyDescent="0.25">
      <c r="A6">
        <v>5</v>
      </c>
      <c r="B6">
        <v>20</v>
      </c>
      <c r="C6">
        <v>1.67</v>
      </c>
      <c r="D6">
        <v>81.3</v>
      </c>
    </row>
    <row r="7" spans="1:4" x14ac:dyDescent="0.25">
      <c r="A7">
        <v>6</v>
      </c>
      <c r="B7">
        <v>24</v>
      </c>
      <c r="C7">
        <v>1.78</v>
      </c>
      <c r="D7">
        <v>72.3</v>
      </c>
    </row>
    <row r="8" spans="1:4" x14ac:dyDescent="0.25">
      <c r="A8">
        <v>7</v>
      </c>
      <c r="B8">
        <v>19</v>
      </c>
      <c r="C8">
        <v>1.72</v>
      </c>
      <c r="D8">
        <v>68.8</v>
      </c>
    </row>
    <row r="9" spans="1:4" x14ac:dyDescent="0.25">
      <c r="A9">
        <v>8</v>
      </c>
      <c r="B9">
        <v>19</v>
      </c>
      <c r="C9">
        <v>1.75</v>
      </c>
      <c r="D9">
        <v>76.400000000000006</v>
      </c>
    </row>
    <row r="10" spans="1:4" x14ac:dyDescent="0.25">
      <c r="A10">
        <v>9</v>
      </c>
      <c r="B10">
        <v>24</v>
      </c>
      <c r="C10">
        <v>1.82</v>
      </c>
      <c r="D10">
        <v>76.5</v>
      </c>
    </row>
    <row r="11" spans="1:4" x14ac:dyDescent="0.25">
      <c r="A11">
        <v>10</v>
      </c>
      <c r="B11">
        <v>23</v>
      </c>
      <c r="C11">
        <v>1.84</v>
      </c>
      <c r="D11">
        <v>82.7</v>
      </c>
    </row>
    <row r="12" spans="1:4" x14ac:dyDescent="0.25">
      <c r="A12">
        <v>11</v>
      </c>
      <c r="B12">
        <v>31</v>
      </c>
      <c r="C12">
        <v>1.73</v>
      </c>
      <c r="D12">
        <v>72.599999999999994</v>
      </c>
    </row>
    <row r="13" spans="1:4" x14ac:dyDescent="0.25">
      <c r="A13">
        <v>12</v>
      </c>
      <c r="B13">
        <v>32</v>
      </c>
      <c r="C13">
        <v>1.75</v>
      </c>
      <c r="D13">
        <v>76.099999999999994</v>
      </c>
    </row>
    <row r="15" spans="1:4" x14ac:dyDescent="0.25">
      <c r="B15" s="3">
        <f>AVERAGE(B2:B13)</f>
        <v>23.75</v>
      </c>
      <c r="C15" s="2">
        <f>AVERAGE(C2:C13)</f>
        <v>1.7649999999999999</v>
      </c>
      <c r="D15" s="3">
        <f>AVERAGE(D2:D13)</f>
        <v>76.775000000000006</v>
      </c>
    </row>
    <row r="16" spans="1:4" x14ac:dyDescent="0.25">
      <c r="B16" s="3">
        <f>STDEV(B2:B13)</f>
        <v>5.3107951810011889</v>
      </c>
      <c r="C16" s="2">
        <f>STDEV(C2:C13)</f>
        <v>5.2136185305235193E-2</v>
      </c>
      <c r="D16" s="3">
        <f>STDEV(D2:D13)</f>
        <v>6.1986985437560689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workbookViewId="0"/>
  </sheetViews>
  <sheetFormatPr defaultRowHeight="15" x14ac:dyDescent="0.25"/>
  <sheetData>
    <row r="1" spans="1:16" x14ac:dyDescent="0.25">
      <c r="A1" t="s">
        <v>0</v>
      </c>
    </row>
    <row r="2" spans="1:16" x14ac:dyDescent="0.25">
      <c r="B2" t="s">
        <v>1</v>
      </c>
      <c r="C2" t="s">
        <v>8</v>
      </c>
      <c r="D2" t="s">
        <v>2</v>
      </c>
      <c r="E2" t="s">
        <v>3</v>
      </c>
      <c r="F2" t="s">
        <v>4</v>
      </c>
      <c r="H2" t="s">
        <v>9</v>
      </c>
      <c r="I2" t="s">
        <v>9</v>
      </c>
      <c r="K2" s="1">
        <v>0.25</v>
      </c>
      <c r="L2" s="1">
        <v>0.5</v>
      </c>
      <c r="M2" s="1">
        <v>0.75</v>
      </c>
      <c r="O2" s="4"/>
      <c r="P2" s="4"/>
    </row>
    <row r="3" spans="1:16" x14ac:dyDescent="0.25">
      <c r="B3">
        <v>1</v>
      </c>
      <c r="C3">
        <v>1</v>
      </c>
      <c r="D3">
        <v>273.5</v>
      </c>
      <c r="E3">
        <v>271.8</v>
      </c>
      <c r="F3">
        <v>265.3</v>
      </c>
      <c r="H3" s="2">
        <f>((D3/E3)*100)-100</f>
        <v>0.62545989698308802</v>
      </c>
      <c r="I3" s="2">
        <f>((D3/F3)*100)-100</f>
        <v>3.0908405578590248</v>
      </c>
      <c r="K3" s="2">
        <f>D3*0.25</f>
        <v>68.375</v>
      </c>
      <c r="L3" s="2">
        <f>D3*0.5</f>
        <v>136.75</v>
      </c>
      <c r="M3" s="2">
        <f>D3*0.75</f>
        <v>205.125</v>
      </c>
    </row>
    <row r="4" spans="1:16" x14ac:dyDescent="0.25">
      <c r="B4">
        <v>2</v>
      </c>
      <c r="C4">
        <v>4</v>
      </c>
      <c r="D4">
        <v>323.60000000000002</v>
      </c>
      <c r="E4">
        <v>322.7</v>
      </c>
      <c r="F4">
        <v>332.9</v>
      </c>
      <c r="H4" s="2">
        <f t="shared" ref="H4:H14" si="0">((D4/E4)*100)-100</f>
        <v>0.27889680818098839</v>
      </c>
      <c r="I4" s="2">
        <f t="shared" ref="I4:I14" si="1">((D4/F4)*100)-100</f>
        <v>-2.7936317212376025</v>
      </c>
      <c r="K4" s="2">
        <f t="shared" ref="K4:K14" si="2">D4*0.25</f>
        <v>80.900000000000006</v>
      </c>
      <c r="L4" s="2">
        <f t="shared" ref="L4:L14" si="3">D4*0.5</f>
        <v>161.80000000000001</v>
      </c>
      <c r="M4" s="2">
        <f t="shared" ref="M4:M14" si="4">D4*0.75</f>
        <v>242.70000000000002</v>
      </c>
    </row>
    <row r="5" spans="1:16" x14ac:dyDescent="0.25">
      <c r="B5">
        <v>3</v>
      </c>
      <c r="C5">
        <v>3</v>
      </c>
      <c r="D5">
        <v>282.3</v>
      </c>
      <c r="E5">
        <v>281.3</v>
      </c>
      <c r="F5">
        <v>284.39999999999998</v>
      </c>
      <c r="H5" s="2">
        <f t="shared" si="0"/>
        <v>0.35549235691432557</v>
      </c>
      <c r="I5" s="2">
        <f t="shared" si="1"/>
        <v>-0.73839662447255705</v>
      </c>
      <c r="K5" s="2">
        <f t="shared" si="2"/>
        <v>70.575000000000003</v>
      </c>
      <c r="L5" s="2">
        <f t="shared" si="3"/>
        <v>141.15</v>
      </c>
      <c r="M5" s="2">
        <f t="shared" si="4"/>
        <v>211.72500000000002</v>
      </c>
    </row>
    <row r="6" spans="1:16" x14ac:dyDescent="0.25">
      <c r="B6">
        <v>4</v>
      </c>
      <c r="C6">
        <v>2</v>
      </c>
      <c r="D6">
        <v>357.6</v>
      </c>
      <c r="E6">
        <v>348.2</v>
      </c>
      <c r="F6">
        <v>370.2</v>
      </c>
      <c r="H6" s="2">
        <f t="shared" si="0"/>
        <v>2.699597932222872</v>
      </c>
      <c r="I6" s="2">
        <f t="shared" si="1"/>
        <v>-3.4035656401944863</v>
      </c>
      <c r="K6" s="2">
        <f t="shared" si="2"/>
        <v>89.4</v>
      </c>
      <c r="L6" s="2">
        <f t="shared" si="3"/>
        <v>178.8</v>
      </c>
      <c r="M6" s="2">
        <f t="shared" si="4"/>
        <v>268.20000000000005</v>
      </c>
    </row>
    <row r="7" spans="1:16" x14ac:dyDescent="0.25">
      <c r="B7">
        <v>5</v>
      </c>
      <c r="C7">
        <v>1</v>
      </c>
      <c r="D7">
        <v>325.10000000000002</v>
      </c>
      <c r="E7">
        <v>320.8</v>
      </c>
      <c r="F7">
        <v>311.3</v>
      </c>
      <c r="H7" s="2">
        <f t="shared" si="0"/>
        <v>1.3403990024937684</v>
      </c>
      <c r="I7" s="2">
        <f t="shared" si="1"/>
        <v>4.4330228075811107</v>
      </c>
      <c r="K7" s="2">
        <f t="shared" si="2"/>
        <v>81.275000000000006</v>
      </c>
      <c r="L7" s="2">
        <f t="shared" si="3"/>
        <v>162.55000000000001</v>
      </c>
      <c r="M7" s="2">
        <f t="shared" si="4"/>
        <v>243.82500000000002</v>
      </c>
      <c r="P7" s="2"/>
    </row>
    <row r="8" spans="1:16" x14ac:dyDescent="0.25">
      <c r="B8">
        <v>6</v>
      </c>
      <c r="C8">
        <v>4</v>
      </c>
      <c r="D8">
        <v>374.8</v>
      </c>
      <c r="E8">
        <v>378.8</v>
      </c>
      <c r="F8">
        <v>402.7</v>
      </c>
      <c r="H8" s="2">
        <f t="shared" si="0"/>
        <v>-1.0559662090813049</v>
      </c>
      <c r="I8" s="2">
        <f t="shared" si="1"/>
        <v>-6.9282344176806419</v>
      </c>
      <c r="K8" s="2">
        <f t="shared" si="2"/>
        <v>93.7</v>
      </c>
      <c r="L8" s="2">
        <f t="shared" si="3"/>
        <v>187.4</v>
      </c>
      <c r="M8" s="2">
        <f t="shared" si="4"/>
        <v>281.10000000000002</v>
      </c>
      <c r="P8" s="2"/>
    </row>
    <row r="9" spans="1:16" x14ac:dyDescent="0.25">
      <c r="B9">
        <v>7</v>
      </c>
      <c r="C9">
        <v>3</v>
      </c>
      <c r="D9" s="3">
        <v>244</v>
      </c>
      <c r="E9">
        <v>243.8</v>
      </c>
      <c r="F9">
        <v>237.8</v>
      </c>
      <c r="H9" s="2">
        <f t="shared" si="0"/>
        <v>8.2034454470885976E-2</v>
      </c>
      <c r="I9" s="2">
        <f t="shared" si="1"/>
        <v>2.6072329688814193</v>
      </c>
      <c r="K9" s="2">
        <f t="shared" si="2"/>
        <v>61</v>
      </c>
      <c r="L9" s="2">
        <f t="shared" si="3"/>
        <v>122</v>
      </c>
      <c r="M9" s="2">
        <f t="shared" si="4"/>
        <v>183</v>
      </c>
      <c r="P9" s="2"/>
    </row>
    <row r="10" spans="1:16" x14ac:dyDescent="0.25">
      <c r="B10">
        <v>8</v>
      </c>
      <c r="C10">
        <v>1</v>
      </c>
      <c r="D10">
        <v>267.39999999999998</v>
      </c>
      <c r="E10">
        <v>273.89999999999998</v>
      </c>
      <c r="F10">
        <v>269.89999999999998</v>
      </c>
      <c r="H10" s="2">
        <f t="shared" si="0"/>
        <v>-2.3731288791529721</v>
      </c>
      <c r="I10" s="2">
        <f t="shared" si="1"/>
        <v>-0.92626898851426631</v>
      </c>
      <c r="K10" s="2">
        <f t="shared" si="2"/>
        <v>66.849999999999994</v>
      </c>
      <c r="L10" s="2">
        <f t="shared" si="3"/>
        <v>133.69999999999999</v>
      </c>
      <c r="M10" s="2">
        <f t="shared" si="4"/>
        <v>200.54999999999998</v>
      </c>
      <c r="P10" s="2"/>
    </row>
    <row r="11" spans="1:16" x14ac:dyDescent="0.25">
      <c r="B11">
        <v>9</v>
      </c>
      <c r="C11">
        <v>4</v>
      </c>
      <c r="D11">
        <v>266.39999999999998</v>
      </c>
      <c r="E11">
        <v>257.3</v>
      </c>
      <c r="F11">
        <v>262.10000000000002</v>
      </c>
      <c r="H11" s="2">
        <f t="shared" si="0"/>
        <v>3.5367275553828108</v>
      </c>
      <c r="I11" s="2">
        <f t="shared" si="1"/>
        <v>1.6405951926745388</v>
      </c>
      <c r="K11" s="2">
        <f t="shared" ref="K11" si="5">D11*0.25</f>
        <v>66.599999999999994</v>
      </c>
      <c r="L11" s="2">
        <f t="shared" ref="L11" si="6">D11*0.5</f>
        <v>133.19999999999999</v>
      </c>
      <c r="M11" s="2">
        <f t="shared" ref="M11" si="7">D11*0.75</f>
        <v>199.79999999999998</v>
      </c>
      <c r="P11" s="2"/>
    </row>
    <row r="12" spans="1:16" x14ac:dyDescent="0.25">
      <c r="B12">
        <v>10</v>
      </c>
      <c r="C12">
        <v>2</v>
      </c>
      <c r="D12">
        <v>268.2</v>
      </c>
      <c r="E12">
        <v>279.10000000000002</v>
      </c>
      <c r="F12">
        <v>276.7</v>
      </c>
      <c r="H12" s="2">
        <f t="shared" si="0"/>
        <v>-3.9054102472232302</v>
      </c>
      <c r="I12" s="2">
        <f t="shared" si="1"/>
        <v>-3.0719190458980847</v>
      </c>
      <c r="K12" s="2">
        <f t="shared" si="2"/>
        <v>67.05</v>
      </c>
      <c r="L12" s="2">
        <f t="shared" si="3"/>
        <v>134.1</v>
      </c>
      <c r="M12" s="2">
        <f t="shared" si="4"/>
        <v>201.14999999999998</v>
      </c>
      <c r="P12" s="2"/>
    </row>
    <row r="13" spans="1:16" x14ac:dyDescent="0.25">
      <c r="B13">
        <v>11</v>
      </c>
      <c r="C13">
        <v>3</v>
      </c>
      <c r="D13">
        <v>225.1</v>
      </c>
      <c r="E13">
        <v>214.1</v>
      </c>
      <c r="F13">
        <v>205.8</v>
      </c>
      <c r="H13" s="2">
        <f t="shared" si="0"/>
        <v>5.1377860812704199</v>
      </c>
      <c r="I13" s="2">
        <f t="shared" si="1"/>
        <v>9.3780369290573162</v>
      </c>
      <c r="K13" s="2">
        <f t="shared" si="2"/>
        <v>56.274999999999999</v>
      </c>
      <c r="L13" s="2">
        <f t="shared" si="3"/>
        <v>112.55</v>
      </c>
      <c r="M13" s="2">
        <f t="shared" si="4"/>
        <v>168.82499999999999</v>
      </c>
      <c r="P13" s="2"/>
    </row>
    <row r="14" spans="1:16" x14ac:dyDescent="0.25">
      <c r="B14">
        <v>12</v>
      </c>
      <c r="C14">
        <v>1</v>
      </c>
      <c r="D14">
        <v>261.3</v>
      </c>
      <c r="E14">
        <v>256.10000000000002</v>
      </c>
      <c r="F14" s="3">
        <v>248</v>
      </c>
      <c r="H14" s="2">
        <f t="shared" si="0"/>
        <v>2.030456852791886</v>
      </c>
      <c r="I14" s="2">
        <f t="shared" si="1"/>
        <v>5.3629032258064626</v>
      </c>
      <c r="K14" s="2">
        <f t="shared" si="2"/>
        <v>65.325000000000003</v>
      </c>
      <c r="L14" s="2">
        <f t="shared" si="3"/>
        <v>130.65</v>
      </c>
      <c r="M14" s="2">
        <f t="shared" si="4"/>
        <v>195.97500000000002</v>
      </c>
      <c r="P14" s="2"/>
    </row>
    <row r="15" spans="1:16" x14ac:dyDescent="0.25">
      <c r="P15" s="2"/>
    </row>
    <row r="16" spans="1:16" x14ac:dyDescent="0.25">
      <c r="D16" s="3">
        <f>AVERAGE(D3:D14)</f>
        <v>289.10833333333329</v>
      </c>
      <c r="E16" s="3">
        <f>AVERAGE(E3:E14)</f>
        <v>287.32499999999999</v>
      </c>
      <c r="F16" s="3">
        <f>AVERAGE(F3:F14)</f>
        <v>288.92500000000001</v>
      </c>
      <c r="H16" s="3">
        <f>AVERAGE(H3:H14)</f>
        <v>0.72936213377112813</v>
      </c>
      <c r="I16" s="3">
        <f>AVERAGE(I3:I14)</f>
        <v>0.72088460365518614</v>
      </c>
      <c r="P16" s="2"/>
    </row>
    <row r="17" spans="1:16" x14ac:dyDescent="0.25">
      <c r="D17" s="3">
        <f>STDEV(D3:D14)</f>
        <v>45.86385898074947</v>
      </c>
      <c r="E17" s="3">
        <f>STDEV(E3:E14)</f>
        <v>46.810490762803866</v>
      </c>
      <c r="F17" s="3">
        <f>STDEV(F3:F14)</f>
        <v>56.40180727278473</v>
      </c>
      <c r="H17" s="3">
        <f>STDEV(H3:H14)</f>
        <v>2.4923525607007595</v>
      </c>
      <c r="I17" s="3">
        <f>STDEV(I3:I14)</f>
        <v>4.5466808579405376</v>
      </c>
      <c r="P17" s="2"/>
    </row>
    <row r="18" spans="1:16" x14ac:dyDescent="0.25">
      <c r="P18" s="2"/>
    </row>
    <row r="20" spans="1:16" x14ac:dyDescent="0.25">
      <c r="A20" t="s">
        <v>7</v>
      </c>
    </row>
    <row r="21" spans="1:16" x14ac:dyDescent="0.25">
      <c r="B21" t="s">
        <v>1</v>
      </c>
      <c r="C21" t="s">
        <v>8</v>
      </c>
      <c r="D21" t="s">
        <v>2</v>
      </c>
      <c r="E21" t="s">
        <v>3</v>
      </c>
      <c r="F21" t="s">
        <v>4</v>
      </c>
      <c r="H21" t="s">
        <v>9</v>
      </c>
      <c r="I21" t="s">
        <v>9</v>
      </c>
      <c r="K21" s="1">
        <v>0.25</v>
      </c>
      <c r="L21" s="1">
        <v>0.5</v>
      </c>
      <c r="M21" s="1">
        <v>0.75</v>
      </c>
    </row>
    <row r="22" spans="1:16" x14ac:dyDescent="0.25">
      <c r="B22">
        <v>1</v>
      </c>
      <c r="C22">
        <v>2</v>
      </c>
      <c r="D22">
        <v>290.5</v>
      </c>
      <c r="E22">
        <v>283.7</v>
      </c>
      <c r="F22">
        <v>279.10000000000002</v>
      </c>
      <c r="H22" s="2">
        <f>((D22/E22)*100)-100</f>
        <v>2.3968981318293885</v>
      </c>
      <c r="I22" s="2">
        <f>((D22/F22)*100)-100</f>
        <v>4.0845575062701442</v>
      </c>
      <c r="K22" s="3">
        <f>D22*0.25</f>
        <v>72.625</v>
      </c>
      <c r="L22" s="3">
        <f>D22*0.5</f>
        <v>145.25</v>
      </c>
      <c r="M22" s="3">
        <f>D22*0.75</f>
        <v>217.875</v>
      </c>
    </row>
    <row r="23" spans="1:16" x14ac:dyDescent="0.25">
      <c r="B23">
        <v>2</v>
      </c>
      <c r="C23">
        <v>1</v>
      </c>
      <c r="D23">
        <v>319.10000000000002</v>
      </c>
      <c r="E23">
        <v>286.7</v>
      </c>
      <c r="F23">
        <v>296.8</v>
      </c>
      <c r="H23" s="2">
        <f t="shared" ref="H23:H33" si="8">((D23/E23)*100)-100</f>
        <v>11.301011510289499</v>
      </c>
      <c r="I23" s="2">
        <f t="shared" ref="I23:I33" si="9">((D23/F23)*100)-100</f>
        <v>7.5134770889487896</v>
      </c>
      <c r="K23" s="3">
        <f t="shared" ref="K23:K33" si="10">D23*0.25</f>
        <v>79.775000000000006</v>
      </c>
      <c r="L23" s="3">
        <f t="shared" ref="L23:L33" si="11">D23*0.5</f>
        <v>159.55000000000001</v>
      </c>
      <c r="M23" s="3">
        <f t="shared" ref="M23:M33" si="12">D23*0.75</f>
        <v>239.32500000000002</v>
      </c>
    </row>
    <row r="24" spans="1:16" x14ac:dyDescent="0.25">
      <c r="B24">
        <v>3</v>
      </c>
      <c r="C24">
        <v>4</v>
      </c>
      <c r="D24" s="3">
        <v>327.60000000000002</v>
      </c>
      <c r="E24">
        <v>310.2</v>
      </c>
      <c r="F24">
        <v>340.1</v>
      </c>
      <c r="H24" s="2">
        <f t="shared" si="8"/>
        <v>5.6092843326885884</v>
      </c>
      <c r="I24" s="2">
        <f t="shared" si="9"/>
        <v>-3.6753895912966783</v>
      </c>
      <c r="K24" s="3">
        <f t="shared" si="10"/>
        <v>81.900000000000006</v>
      </c>
      <c r="L24" s="3">
        <f t="shared" si="11"/>
        <v>163.80000000000001</v>
      </c>
      <c r="M24" s="3">
        <f t="shared" si="12"/>
        <v>245.70000000000002</v>
      </c>
    </row>
    <row r="25" spans="1:16" x14ac:dyDescent="0.25">
      <c r="B25">
        <v>4</v>
      </c>
      <c r="C25">
        <v>3</v>
      </c>
      <c r="D25">
        <v>350.7</v>
      </c>
      <c r="E25">
        <v>329.8</v>
      </c>
      <c r="F25">
        <v>369.9</v>
      </c>
      <c r="H25" s="2">
        <f t="shared" si="8"/>
        <v>6.337174044875681</v>
      </c>
      <c r="I25" s="2">
        <f t="shared" si="9"/>
        <v>-5.1905920519059237</v>
      </c>
      <c r="K25" s="3">
        <f t="shared" si="10"/>
        <v>87.674999999999997</v>
      </c>
      <c r="L25" s="3">
        <f t="shared" si="11"/>
        <v>175.35</v>
      </c>
      <c r="M25" s="3">
        <f t="shared" si="12"/>
        <v>263.02499999999998</v>
      </c>
    </row>
    <row r="26" spans="1:16" x14ac:dyDescent="0.25">
      <c r="B26">
        <v>5</v>
      </c>
      <c r="C26">
        <v>2</v>
      </c>
      <c r="D26">
        <v>342.2</v>
      </c>
      <c r="E26">
        <v>311.10000000000002</v>
      </c>
      <c r="F26" s="3">
        <v>314</v>
      </c>
      <c r="H26" s="2">
        <f t="shared" si="8"/>
        <v>9.9967855994856905</v>
      </c>
      <c r="I26" s="2">
        <f t="shared" si="9"/>
        <v>8.9808917197452161</v>
      </c>
      <c r="K26" s="3">
        <f t="shared" si="10"/>
        <v>85.55</v>
      </c>
      <c r="L26" s="3">
        <f t="shared" si="11"/>
        <v>171.1</v>
      </c>
      <c r="M26" s="3">
        <f t="shared" si="12"/>
        <v>256.64999999999998</v>
      </c>
    </row>
    <row r="27" spans="1:16" x14ac:dyDescent="0.25">
      <c r="B27">
        <v>6</v>
      </c>
      <c r="C27">
        <v>1</v>
      </c>
      <c r="D27">
        <v>403.8</v>
      </c>
      <c r="E27">
        <v>389.8</v>
      </c>
      <c r="F27">
        <v>387.1</v>
      </c>
      <c r="H27" s="2">
        <f t="shared" si="8"/>
        <v>3.5915854284248354</v>
      </c>
      <c r="I27" s="2">
        <f t="shared" si="9"/>
        <v>4.3141307155773632</v>
      </c>
      <c r="K27" s="3">
        <f t="shared" si="10"/>
        <v>100.95</v>
      </c>
      <c r="L27" s="3">
        <f t="shared" si="11"/>
        <v>201.9</v>
      </c>
      <c r="M27" s="3">
        <f t="shared" si="12"/>
        <v>302.85000000000002</v>
      </c>
    </row>
    <row r="28" spans="1:16" x14ac:dyDescent="0.25">
      <c r="B28">
        <v>7</v>
      </c>
      <c r="C28">
        <v>4</v>
      </c>
      <c r="D28">
        <v>256.10000000000002</v>
      </c>
      <c r="E28">
        <v>251.3</v>
      </c>
      <c r="F28">
        <v>252.5</v>
      </c>
      <c r="H28" s="2">
        <f t="shared" si="8"/>
        <v>1.9100676482292016</v>
      </c>
      <c r="I28" s="2">
        <f t="shared" si="9"/>
        <v>1.425742574257427</v>
      </c>
      <c r="K28" s="3">
        <f t="shared" si="10"/>
        <v>64.025000000000006</v>
      </c>
      <c r="L28" s="3">
        <f t="shared" si="11"/>
        <v>128.05000000000001</v>
      </c>
      <c r="M28" s="3">
        <f t="shared" si="12"/>
        <v>192.07500000000002</v>
      </c>
    </row>
    <row r="29" spans="1:16" x14ac:dyDescent="0.25">
      <c r="B29">
        <v>8</v>
      </c>
      <c r="C29">
        <v>2</v>
      </c>
      <c r="D29">
        <v>278.2</v>
      </c>
      <c r="E29">
        <v>271.8</v>
      </c>
      <c r="F29">
        <v>274.2</v>
      </c>
      <c r="H29" s="2">
        <f t="shared" si="8"/>
        <v>2.3546725533480526</v>
      </c>
      <c r="I29" s="2">
        <f t="shared" si="9"/>
        <v>1.4587892049598707</v>
      </c>
      <c r="K29" s="3">
        <f t="shared" si="10"/>
        <v>69.55</v>
      </c>
      <c r="L29" s="3">
        <f t="shared" si="11"/>
        <v>139.1</v>
      </c>
      <c r="M29" s="3">
        <f t="shared" si="12"/>
        <v>208.64999999999998</v>
      </c>
    </row>
    <row r="30" spans="1:16" x14ac:dyDescent="0.25">
      <c r="B30">
        <v>9</v>
      </c>
      <c r="C30">
        <v>1</v>
      </c>
      <c r="D30">
        <v>259.89999999999998</v>
      </c>
      <c r="E30">
        <v>250.9</v>
      </c>
      <c r="F30">
        <v>261.2</v>
      </c>
      <c r="H30" s="2">
        <f t="shared" si="8"/>
        <v>3.5870864886408782</v>
      </c>
      <c r="I30" s="2">
        <f t="shared" si="9"/>
        <v>-0.49770290964778496</v>
      </c>
      <c r="K30" s="3">
        <f t="shared" ref="K30" si="13">D30*0.25</f>
        <v>64.974999999999994</v>
      </c>
      <c r="L30" s="3">
        <f t="shared" ref="L30" si="14">D30*0.5</f>
        <v>129.94999999999999</v>
      </c>
      <c r="M30" s="3">
        <f t="shared" ref="M30" si="15">D30*0.75</f>
        <v>194.92499999999998</v>
      </c>
    </row>
    <row r="31" spans="1:16" x14ac:dyDescent="0.25">
      <c r="B31">
        <v>10</v>
      </c>
      <c r="C31">
        <v>3</v>
      </c>
      <c r="D31">
        <v>269.60000000000002</v>
      </c>
      <c r="E31">
        <v>264.10000000000002</v>
      </c>
      <c r="F31">
        <v>260.39999999999998</v>
      </c>
      <c r="H31" s="2">
        <f t="shared" si="8"/>
        <v>2.0825444907232082</v>
      </c>
      <c r="I31" s="2">
        <f t="shared" si="9"/>
        <v>3.5330261136712977</v>
      </c>
      <c r="K31" s="3">
        <f t="shared" si="10"/>
        <v>67.400000000000006</v>
      </c>
      <c r="L31" s="3">
        <f t="shared" si="11"/>
        <v>134.80000000000001</v>
      </c>
      <c r="M31" s="3">
        <f t="shared" si="12"/>
        <v>202.20000000000002</v>
      </c>
      <c r="P31" s="2"/>
    </row>
    <row r="32" spans="1:16" x14ac:dyDescent="0.25">
      <c r="B32">
        <v>11</v>
      </c>
      <c r="C32">
        <v>4</v>
      </c>
      <c r="D32">
        <v>203.9</v>
      </c>
      <c r="E32">
        <v>189.2</v>
      </c>
      <c r="F32">
        <v>180.8</v>
      </c>
      <c r="H32" s="2">
        <f t="shared" si="8"/>
        <v>7.7695560253699938</v>
      </c>
      <c r="I32" s="2">
        <f t="shared" si="9"/>
        <v>12.776548672566364</v>
      </c>
      <c r="K32" s="3">
        <f t="shared" si="10"/>
        <v>50.975000000000001</v>
      </c>
      <c r="L32" s="3">
        <f t="shared" si="11"/>
        <v>101.95</v>
      </c>
      <c r="M32" s="3">
        <f t="shared" si="12"/>
        <v>152.92500000000001</v>
      </c>
      <c r="P32" s="2"/>
    </row>
    <row r="33" spans="1:16" x14ac:dyDescent="0.25">
      <c r="B33">
        <v>12</v>
      </c>
      <c r="C33">
        <v>2</v>
      </c>
      <c r="D33">
        <v>268.89999999999998</v>
      </c>
      <c r="E33">
        <v>267.10000000000002</v>
      </c>
      <c r="F33">
        <v>263.3</v>
      </c>
      <c r="H33" s="2">
        <f t="shared" si="8"/>
        <v>0.67390490453011864</v>
      </c>
      <c r="I33" s="2">
        <f t="shared" si="9"/>
        <v>2.126851500189872</v>
      </c>
      <c r="K33" s="3">
        <f t="shared" si="10"/>
        <v>67.224999999999994</v>
      </c>
      <c r="L33" s="3">
        <f t="shared" si="11"/>
        <v>134.44999999999999</v>
      </c>
      <c r="M33" s="3">
        <f t="shared" si="12"/>
        <v>201.67499999999998</v>
      </c>
      <c r="P33" s="2"/>
    </row>
    <row r="34" spans="1:16" x14ac:dyDescent="0.25">
      <c r="K34" s="3"/>
      <c r="L34" s="3"/>
      <c r="M34" s="3"/>
      <c r="P34" s="2"/>
    </row>
    <row r="35" spans="1:16" x14ac:dyDescent="0.25">
      <c r="D35" s="3">
        <f>AVERAGE(D22:D33)</f>
        <v>297.54166666666669</v>
      </c>
      <c r="E35" s="3">
        <f>AVERAGE(E22:E33)</f>
        <v>283.80833333333334</v>
      </c>
      <c r="F35" s="3">
        <f>AVERAGE(F22:F33)</f>
        <v>289.95</v>
      </c>
      <c r="H35" s="3">
        <f>AVERAGE(H22:H33)</f>
        <v>4.8008809298695949</v>
      </c>
      <c r="I35" s="3">
        <f>AVERAGE(I22:I33)</f>
        <v>3.0708608786113296</v>
      </c>
      <c r="P35" s="2"/>
    </row>
    <row r="36" spans="1:16" x14ac:dyDescent="0.25">
      <c r="D36" s="3">
        <f>STDEV(D22:D33)</f>
        <v>53.433994258564091</v>
      </c>
      <c r="E36" s="3">
        <f>STDEV(E22:E33)</f>
        <v>49.268715102779225</v>
      </c>
      <c r="F36" s="3">
        <f>STDEV(F22:F33)</f>
        <v>56.457924800042647</v>
      </c>
      <c r="H36" s="3">
        <f>STDEV(H22:H33)</f>
        <v>3.4185684687019231</v>
      </c>
      <c r="I36" s="3">
        <f>STDEV(I22:I33)</f>
        <v>5.0842633040480614</v>
      </c>
      <c r="P36" s="2"/>
    </row>
    <row r="37" spans="1:16" x14ac:dyDescent="0.25">
      <c r="P37" s="2"/>
    </row>
    <row r="38" spans="1:16" x14ac:dyDescent="0.25">
      <c r="P38" s="2"/>
    </row>
    <row r="39" spans="1:16" x14ac:dyDescent="0.25">
      <c r="P39" s="2"/>
    </row>
    <row r="40" spans="1:16" x14ac:dyDescent="0.25">
      <c r="A40" t="s">
        <v>6</v>
      </c>
      <c r="P40" s="2"/>
    </row>
    <row r="41" spans="1:16" x14ac:dyDescent="0.25">
      <c r="B41" t="s">
        <v>1</v>
      </c>
      <c r="C41" t="s">
        <v>8</v>
      </c>
      <c r="D41" t="s">
        <v>2</v>
      </c>
      <c r="E41" t="s">
        <v>3</v>
      </c>
      <c r="F41" t="s">
        <v>4</v>
      </c>
      <c r="H41" t="s">
        <v>9</v>
      </c>
      <c r="I41" t="s">
        <v>9</v>
      </c>
      <c r="K41" s="1">
        <v>0.25</v>
      </c>
      <c r="L41" s="1">
        <v>0.5</v>
      </c>
      <c r="M41" s="1">
        <v>0.75</v>
      </c>
      <c r="O41" s="4"/>
      <c r="P41" s="2"/>
    </row>
    <row r="42" spans="1:16" x14ac:dyDescent="0.25">
      <c r="B42">
        <v>1</v>
      </c>
      <c r="C42">
        <v>3</v>
      </c>
      <c r="D42">
        <v>308.5</v>
      </c>
      <c r="E42">
        <v>273.60000000000002</v>
      </c>
      <c r="F42">
        <v>270.60000000000002</v>
      </c>
      <c r="H42" s="2">
        <f>((D42/E42)*100)-100</f>
        <v>12.75584795321636</v>
      </c>
      <c r="I42" s="2">
        <f>((D42/F42)*100)-100</f>
        <v>14.005912786400572</v>
      </c>
      <c r="K42" s="3">
        <f>D42*0.25</f>
        <v>77.125</v>
      </c>
      <c r="L42" s="3">
        <f>D42*0.5</f>
        <v>154.25</v>
      </c>
      <c r="M42" s="3">
        <f>D42*0.75</f>
        <v>231.375</v>
      </c>
      <c r="P42" s="2"/>
    </row>
    <row r="43" spans="1:16" x14ac:dyDescent="0.25">
      <c r="B43">
        <v>2</v>
      </c>
      <c r="C43">
        <v>2</v>
      </c>
      <c r="D43">
        <v>301.5</v>
      </c>
      <c r="E43">
        <v>302.2</v>
      </c>
      <c r="F43">
        <v>320.3</v>
      </c>
      <c r="H43" s="2">
        <f t="shared" ref="H43:H53" si="16">((D43/E43)*100)-100</f>
        <v>-0.23163467902051593</v>
      </c>
      <c r="I43" s="2">
        <f t="shared" ref="I43:I53" si="17">((D43/F43)*100)-100</f>
        <v>-5.8694973462379068</v>
      </c>
      <c r="K43" s="3">
        <f t="shared" ref="K43:K53" si="18">D43*0.25</f>
        <v>75.375</v>
      </c>
      <c r="L43" s="3">
        <f t="shared" ref="L43:L53" si="19">D43*0.5</f>
        <v>150.75</v>
      </c>
      <c r="M43" s="3">
        <f t="shared" ref="M43:M53" si="20">D43*0.75</f>
        <v>226.125</v>
      </c>
      <c r="P43" s="2"/>
    </row>
    <row r="44" spans="1:16" x14ac:dyDescent="0.25">
      <c r="B44">
        <v>3</v>
      </c>
      <c r="C44">
        <v>1</v>
      </c>
      <c r="D44">
        <v>392.3</v>
      </c>
      <c r="E44" s="3">
        <v>345</v>
      </c>
      <c r="F44">
        <v>334.5</v>
      </c>
      <c r="H44" s="2">
        <f t="shared" si="16"/>
        <v>13.710144927536234</v>
      </c>
      <c r="I44" s="2">
        <f t="shared" si="17"/>
        <v>17.279521674140511</v>
      </c>
      <c r="K44" s="3">
        <f t="shared" si="18"/>
        <v>98.075000000000003</v>
      </c>
      <c r="L44" s="3">
        <f t="shared" si="19"/>
        <v>196.15</v>
      </c>
      <c r="M44" s="3">
        <f t="shared" si="20"/>
        <v>294.22500000000002</v>
      </c>
      <c r="P44" s="2"/>
    </row>
    <row r="45" spans="1:16" x14ac:dyDescent="0.25">
      <c r="B45">
        <v>4</v>
      </c>
      <c r="C45">
        <v>4</v>
      </c>
      <c r="D45">
        <v>391.6</v>
      </c>
      <c r="E45" s="3">
        <v>356</v>
      </c>
      <c r="F45">
        <v>381.1</v>
      </c>
      <c r="H45" s="2">
        <f t="shared" si="16"/>
        <v>10.000000000000014</v>
      </c>
      <c r="I45" s="2">
        <f t="shared" si="17"/>
        <v>2.7551823668328552</v>
      </c>
      <c r="K45" s="3">
        <f t="shared" si="18"/>
        <v>97.9</v>
      </c>
      <c r="L45" s="3">
        <f t="shared" si="19"/>
        <v>195.8</v>
      </c>
      <c r="M45" s="3">
        <f t="shared" si="20"/>
        <v>293.70000000000005</v>
      </c>
      <c r="P45" s="2"/>
    </row>
    <row r="46" spans="1:16" x14ac:dyDescent="0.25">
      <c r="B46">
        <v>5</v>
      </c>
      <c r="C46">
        <v>3</v>
      </c>
      <c r="D46">
        <v>298.2</v>
      </c>
      <c r="E46">
        <v>262.89999999999998</v>
      </c>
      <c r="F46">
        <v>277.89999999999998</v>
      </c>
      <c r="H46" s="2">
        <f t="shared" si="16"/>
        <v>13.427158615443147</v>
      </c>
      <c r="I46" s="2">
        <f t="shared" si="17"/>
        <v>7.3047858942065602</v>
      </c>
      <c r="K46" s="3">
        <f t="shared" si="18"/>
        <v>74.55</v>
      </c>
      <c r="L46" s="3">
        <f t="shared" si="19"/>
        <v>149.1</v>
      </c>
      <c r="M46" s="3">
        <f t="shared" si="20"/>
        <v>223.64999999999998</v>
      </c>
      <c r="P46" s="2"/>
    </row>
    <row r="47" spans="1:16" x14ac:dyDescent="0.25">
      <c r="B47">
        <v>6</v>
      </c>
      <c r="C47">
        <v>2</v>
      </c>
      <c r="D47">
        <v>347.5</v>
      </c>
      <c r="E47">
        <v>344.1</v>
      </c>
      <c r="F47">
        <v>345.2</v>
      </c>
      <c r="H47" s="2">
        <f t="shared" si="16"/>
        <v>0.98808485905259147</v>
      </c>
      <c r="I47" s="2">
        <f t="shared" si="17"/>
        <v>0.66628041714949404</v>
      </c>
      <c r="K47" s="3">
        <f t="shared" si="18"/>
        <v>86.875</v>
      </c>
      <c r="L47" s="3">
        <f t="shared" si="19"/>
        <v>173.75</v>
      </c>
      <c r="M47" s="3">
        <f t="shared" si="20"/>
        <v>260.625</v>
      </c>
      <c r="P47" s="2"/>
    </row>
    <row r="48" spans="1:16" x14ac:dyDescent="0.25">
      <c r="B48">
        <v>7</v>
      </c>
      <c r="C48">
        <v>1</v>
      </c>
      <c r="D48">
        <v>231.2</v>
      </c>
      <c r="E48">
        <v>200.7</v>
      </c>
      <c r="F48" s="3">
        <v>181</v>
      </c>
      <c r="H48" s="2">
        <f t="shared" si="16"/>
        <v>15.196811160936718</v>
      </c>
      <c r="I48" s="2">
        <f t="shared" si="17"/>
        <v>27.734806629834253</v>
      </c>
      <c r="K48" s="3">
        <f t="shared" si="18"/>
        <v>57.8</v>
      </c>
      <c r="L48" s="3">
        <f t="shared" si="19"/>
        <v>115.6</v>
      </c>
      <c r="M48" s="3">
        <f t="shared" si="20"/>
        <v>173.39999999999998</v>
      </c>
      <c r="P48" s="2"/>
    </row>
    <row r="49" spans="1:16" x14ac:dyDescent="0.25">
      <c r="B49">
        <v>8</v>
      </c>
      <c r="C49">
        <v>3</v>
      </c>
      <c r="D49">
        <v>295.2</v>
      </c>
      <c r="E49">
        <v>278.10000000000002</v>
      </c>
      <c r="F49">
        <v>281.89999999999998</v>
      </c>
      <c r="H49" s="2">
        <f t="shared" si="16"/>
        <v>6.1488673139158436</v>
      </c>
      <c r="I49" s="2">
        <f t="shared" si="17"/>
        <v>4.7179851010996856</v>
      </c>
      <c r="K49" s="3">
        <f t="shared" si="18"/>
        <v>73.8</v>
      </c>
      <c r="L49" s="3">
        <f t="shared" si="19"/>
        <v>147.6</v>
      </c>
      <c r="M49" s="3">
        <f t="shared" si="20"/>
        <v>221.39999999999998</v>
      </c>
      <c r="P49" s="2"/>
    </row>
    <row r="50" spans="1:16" x14ac:dyDescent="0.25">
      <c r="B50">
        <v>9</v>
      </c>
      <c r="C50">
        <v>2</v>
      </c>
      <c r="D50">
        <v>279.3</v>
      </c>
      <c r="E50">
        <v>245.6</v>
      </c>
      <c r="F50">
        <v>236.8</v>
      </c>
      <c r="H50" s="2">
        <f t="shared" si="16"/>
        <v>13.721498371335514</v>
      </c>
      <c r="I50" s="2">
        <f t="shared" si="17"/>
        <v>17.94763513513513</v>
      </c>
      <c r="K50" s="3">
        <f t="shared" ref="K50" si="21">D50*0.25</f>
        <v>69.825000000000003</v>
      </c>
      <c r="L50" s="3">
        <f t="shared" ref="L50" si="22">D50*0.5</f>
        <v>139.65</v>
      </c>
      <c r="M50" s="3">
        <f t="shared" ref="M50" si="23">D50*0.75</f>
        <v>209.47500000000002</v>
      </c>
      <c r="P50" s="2"/>
    </row>
    <row r="51" spans="1:16" x14ac:dyDescent="0.25">
      <c r="B51">
        <v>10</v>
      </c>
      <c r="C51">
        <v>4</v>
      </c>
      <c r="D51">
        <v>268.60000000000002</v>
      </c>
      <c r="E51">
        <v>244.3</v>
      </c>
      <c r="F51">
        <v>249.5</v>
      </c>
      <c r="H51" s="2">
        <f t="shared" ref="H51" si="24">((D51/E51)*100)-100</f>
        <v>9.9467867376176855</v>
      </c>
      <c r="I51" s="2">
        <f t="shared" ref="I51" si="25">((D51/F51)*100)-100</f>
        <v>7.6553106212424922</v>
      </c>
      <c r="K51" s="3">
        <f t="shared" si="18"/>
        <v>67.150000000000006</v>
      </c>
      <c r="L51" s="3">
        <f t="shared" si="19"/>
        <v>134.30000000000001</v>
      </c>
      <c r="M51" s="3">
        <f t="shared" si="20"/>
        <v>201.45000000000002</v>
      </c>
      <c r="P51" s="2"/>
    </row>
    <row r="52" spans="1:16" x14ac:dyDescent="0.25">
      <c r="B52">
        <v>11</v>
      </c>
      <c r="C52">
        <v>1</v>
      </c>
      <c r="D52">
        <v>215.9</v>
      </c>
      <c r="E52">
        <v>207.5</v>
      </c>
      <c r="F52">
        <v>211.1</v>
      </c>
      <c r="H52" s="2">
        <f t="shared" si="16"/>
        <v>4.0481927710843451</v>
      </c>
      <c r="I52" s="2">
        <f t="shared" si="17"/>
        <v>2.2738038844149884</v>
      </c>
      <c r="K52" s="3">
        <f t="shared" si="18"/>
        <v>53.975000000000001</v>
      </c>
      <c r="L52" s="3">
        <f t="shared" si="19"/>
        <v>107.95</v>
      </c>
      <c r="M52" s="3">
        <f t="shared" si="20"/>
        <v>161.92500000000001</v>
      </c>
      <c r="P52" s="2"/>
    </row>
    <row r="53" spans="1:16" x14ac:dyDescent="0.25">
      <c r="B53">
        <v>12</v>
      </c>
      <c r="C53">
        <v>3</v>
      </c>
      <c r="D53" s="3">
        <v>270</v>
      </c>
      <c r="E53">
        <v>254.8</v>
      </c>
      <c r="F53">
        <v>238.1</v>
      </c>
      <c r="H53" s="2">
        <f t="shared" si="16"/>
        <v>5.9654631083202503</v>
      </c>
      <c r="I53" s="2">
        <f t="shared" si="17"/>
        <v>13.397732045359106</v>
      </c>
      <c r="K53" s="3">
        <f t="shared" si="18"/>
        <v>67.5</v>
      </c>
      <c r="L53" s="3">
        <f t="shared" si="19"/>
        <v>135</v>
      </c>
      <c r="M53" s="3">
        <f t="shared" si="20"/>
        <v>202.5</v>
      </c>
      <c r="P53" s="2"/>
    </row>
    <row r="54" spans="1:16" x14ac:dyDescent="0.25">
      <c r="P54" s="2"/>
    </row>
    <row r="55" spans="1:16" x14ac:dyDescent="0.25">
      <c r="D55" s="3">
        <f>AVERAGE(D42:D53)</f>
        <v>299.98333333333335</v>
      </c>
      <c r="E55" s="3">
        <f>AVERAGE(E42:E53)</f>
        <v>276.23333333333329</v>
      </c>
      <c r="F55" s="3">
        <f>AVERAGE(F42:F53)</f>
        <v>277.33333333333337</v>
      </c>
      <c r="H55" s="3">
        <f>AVERAGE(H42:H53)</f>
        <v>8.8064350949531818</v>
      </c>
      <c r="I55" s="3">
        <f>AVERAGE(I42:I53)</f>
        <v>9.1557882674648123</v>
      </c>
    </row>
    <row r="56" spans="1:16" x14ac:dyDescent="0.25">
      <c r="D56" s="3">
        <f>STDEV(D42:D53)</f>
        <v>55.092960007828971</v>
      </c>
      <c r="E56" s="3">
        <f>STDEV(E42:E53)</f>
        <v>51.704586280370201</v>
      </c>
      <c r="F56" s="3">
        <f>STDEV(F42:F53)</f>
        <v>58.91283751647336</v>
      </c>
      <c r="H56" s="3">
        <f>STDEV(H42:H53)</f>
        <v>5.3026840050345427</v>
      </c>
      <c r="I56" s="3">
        <f>STDEV(I42:I53)</f>
        <v>9.2516410835849019</v>
      </c>
    </row>
    <row r="60" spans="1:16" x14ac:dyDescent="0.25">
      <c r="A60" t="s">
        <v>5</v>
      </c>
    </row>
    <row r="61" spans="1:16" x14ac:dyDescent="0.25">
      <c r="B61" t="s">
        <v>1</v>
      </c>
      <c r="C61" t="s">
        <v>8</v>
      </c>
      <c r="D61" t="s">
        <v>2</v>
      </c>
      <c r="E61" t="s">
        <v>3</v>
      </c>
      <c r="F61" t="s">
        <v>4</v>
      </c>
      <c r="H61" t="s">
        <v>9</v>
      </c>
      <c r="I61" t="s">
        <v>9</v>
      </c>
      <c r="K61" s="1">
        <v>0.25</v>
      </c>
      <c r="L61" s="1">
        <v>0.5</v>
      </c>
      <c r="M61" s="1">
        <v>0.75</v>
      </c>
    </row>
    <row r="62" spans="1:16" x14ac:dyDescent="0.25">
      <c r="B62">
        <v>1</v>
      </c>
      <c r="C62">
        <v>4</v>
      </c>
      <c r="D62">
        <v>294.39999999999998</v>
      </c>
      <c r="E62" s="3">
        <v>255</v>
      </c>
      <c r="F62">
        <v>259.60000000000002</v>
      </c>
      <c r="H62" s="2">
        <f>((D62/E62)*100)-100</f>
        <v>15.45098039215685</v>
      </c>
      <c r="I62" s="2">
        <f>((D62/F62)*100)-100</f>
        <v>13.405238828967626</v>
      </c>
      <c r="K62" s="3">
        <f>D62*0.25</f>
        <v>73.599999999999994</v>
      </c>
      <c r="L62" s="3">
        <f>D62*0.5</f>
        <v>147.19999999999999</v>
      </c>
      <c r="M62" s="3">
        <f>D62*0.75</f>
        <v>220.79999999999998</v>
      </c>
    </row>
    <row r="63" spans="1:16" x14ac:dyDescent="0.25">
      <c r="B63">
        <v>2</v>
      </c>
      <c r="C63">
        <v>3</v>
      </c>
      <c r="D63">
        <v>339.1</v>
      </c>
      <c r="E63">
        <v>293.2</v>
      </c>
      <c r="F63">
        <v>315.89999999999998</v>
      </c>
      <c r="H63" s="2">
        <f t="shared" ref="H63:H73" si="26">((D63/E63)*100)-100</f>
        <v>15.654843110504785</v>
      </c>
      <c r="I63" s="2">
        <f t="shared" ref="I63:I73" si="27">((D63/F63)*100)-100</f>
        <v>7.3440962329851374</v>
      </c>
      <c r="K63" s="3">
        <f t="shared" ref="K63:K73" si="28">D63*0.25</f>
        <v>84.775000000000006</v>
      </c>
      <c r="L63" s="3">
        <f t="shared" ref="L63:L73" si="29">D63*0.5</f>
        <v>169.55</v>
      </c>
      <c r="M63" s="3">
        <f t="shared" ref="M63:M73" si="30">D63*0.75</f>
        <v>254.32500000000002</v>
      </c>
    </row>
    <row r="64" spans="1:16" x14ac:dyDescent="0.25">
      <c r="B64">
        <v>3</v>
      </c>
      <c r="C64">
        <v>2</v>
      </c>
      <c r="D64">
        <v>380.8</v>
      </c>
      <c r="E64">
        <v>318.8</v>
      </c>
      <c r="F64">
        <v>313.39999999999998</v>
      </c>
      <c r="H64" s="2">
        <f t="shared" si="26"/>
        <v>19.447929736511924</v>
      </c>
      <c r="I64" s="2">
        <f t="shared" si="27"/>
        <v>21.506062539885136</v>
      </c>
      <c r="K64" s="3">
        <f t="shared" si="28"/>
        <v>95.2</v>
      </c>
      <c r="L64" s="3">
        <f t="shared" si="29"/>
        <v>190.4</v>
      </c>
      <c r="M64" s="3">
        <f t="shared" si="30"/>
        <v>285.60000000000002</v>
      </c>
    </row>
    <row r="65" spans="2:13" x14ac:dyDescent="0.25">
      <c r="B65">
        <v>4</v>
      </c>
      <c r="C65">
        <v>1</v>
      </c>
      <c r="D65">
        <v>325.10000000000002</v>
      </c>
      <c r="E65">
        <v>277.60000000000002</v>
      </c>
      <c r="F65">
        <v>322.39999999999998</v>
      </c>
      <c r="H65" s="2">
        <f t="shared" si="26"/>
        <v>17.110951008645529</v>
      </c>
      <c r="I65" s="2">
        <f t="shared" si="27"/>
        <v>0.83746898263028413</v>
      </c>
      <c r="K65" s="3">
        <f t="shared" si="28"/>
        <v>81.275000000000006</v>
      </c>
      <c r="L65" s="3">
        <f t="shared" si="29"/>
        <v>162.55000000000001</v>
      </c>
      <c r="M65" s="3">
        <f t="shared" si="30"/>
        <v>243.82500000000002</v>
      </c>
    </row>
    <row r="66" spans="2:13" x14ac:dyDescent="0.25">
      <c r="B66">
        <v>5</v>
      </c>
      <c r="C66">
        <v>4</v>
      </c>
      <c r="D66">
        <v>328.1</v>
      </c>
      <c r="E66">
        <v>307.60000000000002</v>
      </c>
      <c r="F66">
        <v>310.60000000000002</v>
      </c>
      <c r="H66" s="2">
        <f t="shared" si="26"/>
        <v>6.6644993498049274</v>
      </c>
      <c r="I66" s="2">
        <f t="shared" si="27"/>
        <v>5.6342562781712928</v>
      </c>
      <c r="K66" s="3">
        <f t="shared" si="28"/>
        <v>82.025000000000006</v>
      </c>
      <c r="L66" s="3">
        <f t="shared" si="29"/>
        <v>164.05</v>
      </c>
      <c r="M66" s="3">
        <f t="shared" si="30"/>
        <v>246.07500000000002</v>
      </c>
    </row>
    <row r="67" spans="2:13" x14ac:dyDescent="0.25">
      <c r="B67">
        <v>6</v>
      </c>
      <c r="C67">
        <v>3</v>
      </c>
      <c r="D67">
        <v>390.1</v>
      </c>
      <c r="E67">
        <v>365.5</v>
      </c>
      <c r="F67">
        <v>369.4</v>
      </c>
      <c r="H67" s="2">
        <f t="shared" si="26"/>
        <v>6.7305061559507635</v>
      </c>
      <c r="I67" s="2">
        <f t="shared" si="27"/>
        <v>5.6036816459122889</v>
      </c>
      <c r="K67" s="3">
        <f t="shared" si="28"/>
        <v>97.525000000000006</v>
      </c>
      <c r="L67" s="3">
        <f t="shared" si="29"/>
        <v>195.05</v>
      </c>
      <c r="M67" s="3">
        <f t="shared" si="30"/>
        <v>292.57500000000005</v>
      </c>
    </row>
    <row r="68" spans="2:13" x14ac:dyDescent="0.25">
      <c r="B68">
        <v>7</v>
      </c>
      <c r="C68">
        <v>2</v>
      </c>
      <c r="D68" s="3">
        <v>279</v>
      </c>
      <c r="E68">
        <v>217.3</v>
      </c>
      <c r="F68">
        <v>187.9</v>
      </c>
      <c r="H68" s="2">
        <f t="shared" si="26"/>
        <v>28.393925448688435</v>
      </c>
      <c r="I68" s="2">
        <f t="shared" si="27"/>
        <v>48.483235763704101</v>
      </c>
      <c r="K68" s="3">
        <f t="shared" si="28"/>
        <v>69.75</v>
      </c>
      <c r="L68" s="3">
        <f t="shared" si="29"/>
        <v>139.5</v>
      </c>
      <c r="M68" s="3">
        <f t="shared" si="30"/>
        <v>209.25</v>
      </c>
    </row>
    <row r="69" spans="2:13" x14ac:dyDescent="0.25">
      <c r="B69">
        <v>8</v>
      </c>
      <c r="C69">
        <v>4</v>
      </c>
      <c r="D69" s="3">
        <v>301</v>
      </c>
      <c r="E69">
        <v>292.2</v>
      </c>
      <c r="F69">
        <v>298.60000000000002</v>
      </c>
      <c r="H69" s="2">
        <f t="shared" si="26"/>
        <v>3.0116358658453208</v>
      </c>
      <c r="I69" s="2">
        <f t="shared" si="27"/>
        <v>0.80375083724044316</v>
      </c>
      <c r="K69" s="3">
        <f t="shared" si="28"/>
        <v>75.25</v>
      </c>
      <c r="L69" s="3">
        <f t="shared" si="29"/>
        <v>150.5</v>
      </c>
      <c r="M69" s="3">
        <f t="shared" si="30"/>
        <v>225.75</v>
      </c>
    </row>
    <row r="70" spans="2:13" x14ac:dyDescent="0.25">
      <c r="B70">
        <v>9</v>
      </c>
      <c r="C70">
        <v>3</v>
      </c>
      <c r="D70">
        <v>307.3</v>
      </c>
      <c r="E70">
        <v>301.39999999999998</v>
      </c>
      <c r="F70">
        <v>305.3</v>
      </c>
      <c r="H70" s="2">
        <f t="shared" si="26"/>
        <v>1.957531519575312</v>
      </c>
      <c r="I70" s="2">
        <f t="shared" si="27"/>
        <v>0.65509335080248832</v>
      </c>
      <c r="K70" s="3">
        <f t="shared" ref="K70" si="31">D70*0.25</f>
        <v>76.825000000000003</v>
      </c>
      <c r="L70" s="3">
        <f t="shared" ref="L70" si="32">D70*0.5</f>
        <v>153.65</v>
      </c>
      <c r="M70" s="3">
        <f t="shared" ref="M70" si="33">D70*0.75</f>
        <v>230.47500000000002</v>
      </c>
    </row>
    <row r="71" spans="2:13" x14ac:dyDescent="0.25">
      <c r="B71">
        <v>10</v>
      </c>
      <c r="C71">
        <v>1</v>
      </c>
      <c r="D71">
        <v>253.2</v>
      </c>
      <c r="E71">
        <v>240.5</v>
      </c>
      <c r="F71">
        <v>238.3</v>
      </c>
      <c r="H71" s="2">
        <f t="shared" si="26"/>
        <v>5.2806652806652892</v>
      </c>
      <c r="I71" s="2">
        <f t="shared" si="27"/>
        <v>6.252622744439762</v>
      </c>
      <c r="K71" s="3">
        <f t="shared" si="28"/>
        <v>63.3</v>
      </c>
      <c r="L71" s="3">
        <f t="shared" si="29"/>
        <v>126.6</v>
      </c>
      <c r="M71" s="3">
        <f t="shared" si="30"/>
        <v>189.89999999999998</v>
      </c>
    </row>
    <row r="72" spans="2:13" x14ac:dyDescent="0.25">
      <c r="B72">
        <v>11</v>
      </c>
      <c r="C72">
        <v>2</v>
      </c>
      <c r="D72">
        <v>215.6</v>
      </c>
      <c r="E72">
        <v>197.7</v>
      </c>
      <c r="F72">
        <v>187.1</v>
      </c>
      <c r="H72" s="2">
        <f t="shared" si="26"/>
        <v>9.0541224076884106</v>
      </c>
      <c r="I72" s="2">
        <f t="shared" si="27"/>
        <v>15.232495991448431</v>
      </c>
      <c r="K72" s="3">
        <f t="shared" si="28"/>
        <v>53.9</v>
      </c>
      <c r="L72" s="3">
        <f t="shared" si="29"/>
        <v>107.8</v>
      </c>
      <c r="M72" s="3">
        <f t="shared" si="30"/>
        <v>161.69999999999999</v>
      </c>
    </row>
    <row r="73" spans="2:13" x14ac:dyDescent="0.25">
      <c r="B73">
        <v>12</v>
      </c>
      <c r="C73">
        <v>4</v>
      </c>
      <c r="D73">
        <v>284.89999999999998</v>
      </c>
      <c r="E73">
        <v>276.3</v>
      </c>
      <c r="F73">
        <v>262.10000000000002</v>
      </c>
      <c r="H73" s="2">
        <f t="shared" si="26"/>
        <v>3.1125588128845294</v>
      </c>
      <c r="I73" s="2">
        <f t="shared" si="27"/>
        <v>8.6989698588324984</v>
      </c>
      <c r="K73" s="3">
        <f t="shared" si="28"/>
        <v>71.224999999999994</v>
      </c>
      <c r="L73" s="3">
        <f t="shared" si="29"/>
        <v>142.44999999999999</v>
      </c>
      <c r="M73" s="3">
        <f t="shared" si="30"/>
        <v>213.67499999999998</v>
      </c>
    </row>
    <row r="74" spans="2:13" x14ac:dyDescent="0.25">
      <c r="K74" s="3"/>
      <c r="L74" s="3"/>
      <c r="M74" s="3"/>
    </row>
    <row r="75" spans="2:13" x14ac:dyDescent="0.25">
      <c r="D75" s="3">
        <f>AVERAGE(D62:D73)</f>
        <v>308.21666666666664</v>
      </c>
      <c r="E75" s="3">
        <f>AVERAGE(E62:E73)</f>
        <v>278.59166666666664</v>
      </c>
      <c r="F75" s="3">
        <f>AVERAGE(F62:F73)</f>
        <v>280.88333333333338</v>
      </c>
      <c r="H75" s="3">
        <f>AVERAGE(H62:H73)</f>
        <v>10.989179090743505</v>
      </c>
      <c r="I75" s="3">
        <f>AVERAGE(I62:I73)</f>
        <v>11.204747754584957</v>
      </c>
    </row>
    <row r="76" spans="2:13" x14ac:dyDescent="0.25">
      <c r="D76" s="3">
        <f>STDEV(D62:D73)</f>
        <v>49.40847982672495</v>
      </c>
      <c r="E76" s="3">
        <f>STDEV(E62:E73)</f>
        <v>45.9683380824303</v>
      </c>
      <c r="F76" s="3">
        <f>STDEV(F62:F73)</f>
        <v>55.346689698716645</v>
      </c>
      <c r="H76" s="3">
        <f t="shared" ref="H76:I76" si="34">STDEV(H62:H73)</f>
        <v>8.1689632498716271</v>
      </c>
      <c r="I76" s="3">
        <f t="shared" si="34"/>
        <v>13.320979684903925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3370-5C38-4390-BBD5-4DA151218EB0}">
  <dimension ref="A1:AL76"/>
  <sheetViews>
    <sheetView workbookViewId="0"/>
  </sheetViews>
  <sheetFormatPr defaultRowHeight="15" x14ac:dyDescent="0.25"/>
  <sheetData>
    <row r="1" spans="1:38" x14ac:dyDescent="0.25">
      <c r="A1" t="s">
        <v>0</v>
      </c>
      <c r="G1" t="s">
        <v>14</v>
      </c>
      <c r="H1" t="s">
        <v>15</v>
      </c>
      <c r="K1" t="s">
        <v>0</v>
      </c>
      <c r="Q1" t="s">
        <v>14</v>
      </c>
      <c r="R1" t="s">
        <v>15</v>
      </c>
      <c r="U1" t="s">
        <v>0</v>
      </c>
      <c r="AA1" t="s">
        <v>14</v>
      </c>
      <c r="AB1" t="s">
        <v>15</v>
      </c>
    </row>
    <row r="2" spans="1:38" x14ac:dyDescent="0.25">
      <c r="A2" s="1">
        <v>0.25</v>
      </c>
      <c r="B2" t="s">
        <v>1</v>
      </c>
      <c r="C2" t="s">
        <v>10</v>
      </c>
      <c r="D2" t="s">
        <v>11</v>
      </c>
      <c r="E2" t="s">
        <v>12</v>
      </c>
      <c r="G2" t="s">
        <v>13</v>
      </c>
      <c r="H2" t="s">
        <v>13</v>
      </c>
      <c r="J2" s="1"/>
      <c r="K2" s="1">
        <v>0.5</v>
      </c>
      <c r="L2" t="s">
        <v>1</v>
      </c>
      <c r="M2" t="s">
        <v>10</v>
      </c>
      <c r="N2" t="s">
        <v>11</v>
      </c>
      <c r="O2" t="s">
        <v>12</v>
      </c>
      <c r="Q2" t="s">
        <v>13</v>
      </c>
      <c r="R2" t="s">
        <v>13</v>
      </c>
      <c r="U2" s="1">
        <v>0.75</v>
      </c>
      <c r="V2" t="s">
        <v>1</v>
      </c>
      <c r="W2" t="s">
        <v>10</v>
      </c>
      <c r="X2" t="s">
        <v>11</v>
      </c>
      <c r="Y2" t="s">
        <v>12</v>
      </c>
      <c r="AA2" t="s">
        <v>13</v>
      </c>
      <c r="AB2" t="s">
        <v>13</v>
      </c>
      <c r="AE2" s="1"/>
    </row>
    <row r="3" spans="1:38" x14ac:dyDescent="0.25">
      <c r="B3">
        <v>1</v>
      </c>
      <c r="C3" s="2">
        <v>1.2215491092170534</v>
      </c>
      <c r="D3" s="2">
        <v>1.4843705372399068</v>
      </c>
      <c r="E3" s="2">
        <v>1.3802918900042502</v>
      </c>
      <c r="G3" s="2">
        <f>C3-D3</f>
        <v>-0.26282142802285335</v>
      </c>
      <c r="H3" s="2">
        <f>C3-E3</f>
        <v>-0.15874278078719684</v>
      </c>
      <c r="J3" s="2"/>
      <c r="L3">
        <v>1</v>
      </c>
      <c r="M3" s="2">
        <v>2.26884874350272</v>
      </c>
      <c r="N3" s="2">
        <v>2.5111850108537399</v>
      </c>
      <c r="O3" s="2">
        <v>2.6564097423076536</v>
      </c>
      <c r="Q3" s="2">
        <f>M3-N3</f>
        <v>-0.24233626735101987</v>
      </c>
      <c r="R3" s="2">
        <f>M3-O3</f>
        <v>-0.38756099880493355</v>
      </c>
      <c r="V3">
        <v>1</v>
      </c>
      <c r="W3" s="2">
        <v>2.6708457739905</v>
      </c>
      <c r="X3" s="2">
        <v>4.2050940090878095</v>
      </c>
      <c r="Y3" s="2">
        <v>3.1283392952059952</v>
      </c>
      <c r="AA3" s="2">
        <f>W3-X3</f>
        <v>-1.5342482350973095</v>
      </c>
      <c r="AB3" s="2">
        <f>W3-Y3</f>
        <v>-0.45749352121549514</v>
      </c>
      <c r="AK3" s="2"/>
      <c r="AL3" s="2"/>
    </row>
    <row r="4" spans="1:38" x14ac:dyDescent="0.25">
      <c r="B4">
        <v>2</v>
      </c>
      <c r="C4" s="2">
        <v>1.4996343141773201</v>
      </c>
      <c r="D4" s="2">
        <v>1.6030581826027668</v>
      </c>
      <c r="E4" s="2">
        <v>1.7919096779810666</v>
      </c>
      <c r="G4" s="2">
        <f t="shared" ref="G4:G14" si="0">C4-D4</f>
        <v>-0.10342386842544671</v>
      </c>
      <c r="H4" s="2">
        <f t="shared" ref="H4:H14" si="1">C4-E4</f>
        <v>-0.29227536380374652</v>
      </c>
      <c r="J4" s="2"/>
      <c r="L4">
        <v>2</v>
      </c>
      <c r="M4" s="2">
        <v>2.7688027872882497</v>
      </c>
      <c r="N4" s="2">
        <v>2.6845294066003134</v>
      </c>
      <c r="O4" s="2">
        <v>2.3606959073612233</v>
      </c>
      <c r="Q4" s="2">
        <f t="shared" ref="Q4:Q14" si="2">M4-N4</f>
        <v>8.4273380687936328E-2</v>
      </c>
      <c r="R4" s="2">
        <f t="shared" ref="R4:R14" si="3">M4-O4</f>
        <v>0.40810687992702643</v>
      </c>
      <c r="V4">
        <v>2</v>
      </c>
      <c r="W4" s="2">
        <v>3.27382204838004</v>
      </c>
      <c r="X4" s="2">
        <v>3.4729997526294105</v>
      </c>
      <c r="Y4" s="2">
        <v>3.2121170937820129</v>
      </c>
      <c r="AA4" s="2">
        <f t="shared" ref="AA4:AA14" si="4">W4-X4</f>
        <v>-0.19917770424937054</v>
      </c>
      <c r="AB4" s="2">
        <f t="shared" ref="AB4:AB14" si="5">W4-Y4</f>
        <v>6.1704954598027051E-2</v>
      </c>
      <c r="AK4" s="2"/>
      <c r="AL4" s="2"/>
    </row>
    <row r="5" spans="1:38" x14ac:dyDescent="0.25">
      <c r="B5">
        <v>3</v>
      </c>
      <c r="C5" s="2">
        <v>2.4818080912063096</v>
      </c>
      <c r="D5" s="2">
        <v>2.9019715146201932</v>
      </c>
      <c r="E5" s="2">
        <v>2.3862082346610172</v>
      </c>
      <c r="G5" s="2">
        <f t="shared" si="0"/>
        <v>-0.42016342341388357</v>
      </c>
      <c r="H5" s="2">
        <f t="shared" si="1"/>
        <v>9.5599856545292461E-2</v>
      </c>
      <c r="J5" s="2"/>
      <c r="L5">
        <v>3</v>
      </c>
      <c r="M5" s="2">
        <v>6.0840955506447303</v>
      </c>
      <c r="N5" s="2">
        <v>4.7723218844883402</v>
      </c>
      <c r="O5" s="2">
        <v>3.5977996815436235</v>
      </c>
      <c r="Q5" s="2">
        <f t="shared" si="2"/>
        <v>1.3117736661563901</v>
      </c>
      <c r="R5" s="2">
        <f t="shared" si="3"/>
        <v>2.4862958691011068</v>
      </c>
      <c r="V5">
        <v>3</v>
      </c>
      <c r="W5" s="2">
        <v>5.0111350619634107</v>
      </c>
      <c r="X5" s="2">
        <v>5.7294276481798097</v>
      </c>
      <c r="Y5" s="2">
        <v>5.0867658423589868</v>
      </c>
      <c r="AA5" s="2">
        <f t="shared" si="4"/>
        <v>-0.71829258621639891</v>
      </c>
      <c r="AB5" s="2">
        <f t="shared" si="5"/>
        <v>-7.5630780395576025E-2</v>
      </c>
      <c r="AK5" s="2"/>
      <c r="AL5" s="2"/>
    </row>
    <row r="6" spans="1:38" x14ac:dyDescent="0.25">
      <c r="B6">
        <v>4</v>
      </c>
      <c r="C6" s="2">
        <v>2.1001833188711734</v>
      </c>
      <c r="D6" s="2">
        <v>2.0319296136059233</v>
      </c>
      <c r="E6" s="2">
        <v>2.44716886841069</v>
      </c>
      <c r="G6" s="2">
        <f t="shared" si="0"/>
        <v>6.8253705265250098E-2</v>
      </c>
      <c r="H6" s="2">
        <f t="shared" si="1"/>
        <v>-0.34698554953951666</v>
      </c>
      <c r="J6" s="2"/>
      <c r="L6">
        <v>4</v>
      </c>
      <c r="M6" s="2">
        <v>6.3540930804628033</v>
      </c>
      <c r="N6" s="2">
        <v>5.1827297563386301</v>
      </c>
      <c r="O6" s="2">
        <v>5.2929043538946337</v>
      </c>
      <c r="Q6" s="2">
        <f t="shared" si="2"/>
        <v>1.1713633241241732</v>
      </c>
      <c r="R6" s="2">
        <f t="shared" si="3"/>
        <v>1.0611887265681696</v>
      </c>
      <c r="V6">
        <v>4</v>
      </c>
      <c r="W6" s="2">
        <v>5.9946639684867078</v>
      </c>
      <c r="X6" s="2">
        <v>6.7671952436750233</v>
      </c>
      <c r="Y6" s="2">
        <v>6.13724795235174</v>
      </c>
      <c r="AA6" s="2">
        <f t="shared" si="4"/>
        <v>-0.77253127518831555</v>
      </c>
      <c r="AB6" s="2">
        <f t="shared" si="5"/>
        <v>-0.14258398386503224</v>
      </c>
      <c r="AK6" s="2"/>
      <c r="AL6" s="2"/>
    </row>
    <row r="7" spans="1:38" x14ac:dyDescent="0.25">
      <c r="B7">
        <v>5</v>
      </c>
      <c r="C7" s="2">
        <v>3.3785425941025431</v>
      </c>
      <c r="D7" s="2">
        <v>3.2389340618450002</v>
      </c>
      <c r="E7" s="2">
        <v>2.4076395214452599</v>
      </c>
      <c r="G7" s="2">
        <f t="shared" si="0"/>
        <v>0.13960853225754288</v>
      </c>
      <c r="H7" s="2">
        <f t="shared" si="1"/>
        <v>0.97090307265728315</v>
      </c>
      <c r="J7" s="2"/>
      <c r="L7">
        <v>5</v>
      </c>
      <c r="M7" s="2">
        <v>4.20042240541546</v>
      </c>
      <c r="N7" s="2">
        <v>5.8323909249129668</v>
      </c>
      <c r="O7" s="2">
        <v>5.6376458678305994</v>
      </c>
      <c r="Q7" s="2">
        <f t="shared" si="2"/>
        <v>-1.6319685194975069</v>
      </c>
      <c r="R7" s="2">
        <f t="shared" si="3"/>
        <v>-1.4372234624151394</v>
      </c>
      <c r="V7">
        <v>5</v>
      </c>
      <c r="W7" s="2">
        <v>4.3837941813241201</v>
      </c>
      <c r="X7" s="2">
        <v>4.5601050778012802</v>
      </c>
      <c r="Y7" s="2">
        <v>5.7117958661406023</v>
      </c>
      <c r="AA7" s="2">
        <f t="shared" si="4"/>
        <v>-0.17631089647716003</v>
      </c>
      <c r="AB7" s="2">
        <f t="shared" si="5"/>
        <v>-1.3280016848164822</v>
      </c>
      <c r="AK7" s="2"/>
      <c r="AL7" s="2"/>
    </row>
    <row r="8" spans="1:38" x14ac:dyDescent="0.25">
      <c r="B8">
        <v>6</v>
      </c>
      <c r="C8" s="2">
        <v>1.8343101666307202</v>
      </c>
      <c r="D8" s="2">
        <v>1.7056959787699701</v>
      </c>
      <c r="E8" s="2">
        <v>1.9400131569073669</v>
      </c>
      <c r="G8" s="2">
        <f t="shared" si="0"/>
        <v>0.12861418786075007</v>
      </c>
      <c r="H8" s="2">
        <f t="shared" si="1"/>
        <v>-0.10570299027664665</v>
      </c>
      <c r="J8" s="2"/>
      <c r="L8">
        <v>6</v>
      </c>
      <c r="M8" s="2">
        <v>3.3160757715332534</v>
      </c>
      <c r="N8" s="2">
        <v>5.3401557140230596</v>
      </c>
      <c r="O8" s="2">
        <v>3.0446666037556298</v>
      </c>
      <c r="Q8" s="2">
        <f t="shared" si="2"/>
        <v>-2.0240799424898062</v>
      </c>
      <c r="R8" s="2">
        <f t="shared" si="3"/>
        <v>0.27140916777762358</v>
      </c>
      <c r="V8">
        <v>6</v>
      </c>
      <c r="W8" s="2">
        <v>6.1380853620018634</v>
      </c>
      <c r="X8" s="2">
        <v>6.5779069643043897</v>
      </c>
      <c r="Y8" s="2">
        <v>4.46744907551221</v>
      </c>
      <c r="AA8" s="2">
        <f t="shared" si="4"/>
        <v>-0.43982160230252632</v>
      </c>
      <c r="AB8" s="2">
        <f t="shared" si="5"/>
        <v>1.6706362864896533</v>
      </c>
      <c r="AK8" s="2"/>
      <c r="AL8" s="2"/>
    </row>
    <row r="9" spans="1:38" x14ac:dyDescent="0.25">
      <c r="B9">
        <v>7</v>
      </c>
      <c r="C9" s="2">
        <v>2.2628166420115901</v>
      </c>
      <c r="D9" s="2">
        <v>1.49279310553426</v>
      </c>
      <c r="E9" s="2">
        <v>2.0367643462824265</v>
      </c>
      <c r="G9" s="2">
        <f t="shared" si="0"/>
        <v>0.77002353647733002</v>
      </c>
      <c r="H9" s="2">
        <f t="shared" si="1"/>
        <v>0.22605229572916352</v>
      </c>
      <c r="J9" s="2"/>
      <c r="L9">
        <v>7</v>
      </c>
      <c r="M9" s="2">
        <v>3.9918652364783367</v>
      </c>
      <c r="N9" s="2">
        <v>4.0021804872658899</v>
      </c>
      <c r="O9" s="2">
        <v>3.6986942151323965</v>
      </c>
      <c r="Q9" s="2">
        <f t="shared" si="2"/>
        <v>-1.0315250787553243E-2</v>
      </c>
      <c r="R9" s="2">
        <f t="shared" si="3"/>
        <v>0.2931710213459402</v>
      </c>
      <c r="V9">
        <v>7</v>
      </c>
      <c r="W9" s="2">
        <v>5.0577186835124701</v>
      </c>
      <c r="X9" s="2">
        <v>5.3789432526235803</v>
      </c>
      <c r="Y9" s="2">
        <v>7.3725827159715402</v>
      </c>
      <c r="AA9" s="2">
        <f t="shared" si="4"/>
        <v>-0.32122456911111019</v>
      </c>
      <c r="AB9" s="2">
        <f t="shared" si="5"/>
        <v>-2.3148640324590701</v>
      </c>
      <c r="AG9" s="3"/>
      <c r="AK9" s="2"/>
      <c r="AL9" s="2"/>
    </row>
    <row r="10" spans="1:38" x14ac:dyDescent="0.25">
      <c r="B10">
        <v>8</v>
      </c>
      <c r="C10" s="2">
        <v>1.6575951822327966</v>
      </c>
      <c r="D10" s="2">
        <v>1.4306720076860266</v>
      </c>
      <c r="E10" s="2">
        <v>1.7281194081203566</v>
      </c>
      <c r="G10" s="2">
        <f t="shared" si="0"/>
        <v>0.22692317454676991</v>
      </c>
      <c r="H10" s="2">
        <f t="shared" si="1"/>
        <v>-7.0524225887560021E-2</v>
      </c>
      <c r="J10" s="2"/>
      <c r="L10">
        <v>8</v>
      </c>
      <c r="M10" s="2">
        <v>3.8325754928350597</v>
      </c>
      <c r="N10" s="2">
        <v>3.8077344756804066</v>
      </c>
      <c r="O10" s="2">
        <v>3.675414534693997</v>
      </c>
      <c r="Q10" s="2">
        <f t="shared" si="2"/>
        <v>2.4841017154653144E-2</v>
      </c>
      <c r="R10" s="2">
        <f t="shared" si="3"/>
        <v>0.15716095814106268</v>
      </c>
      <c r="V10">
        <v>8</v>
      </c>
      <c r="W10" s="2">
        <v>4.2311846559677129</v>
      </c>
      <c r="X10" s="2">
        <v>4.5421119322711538</v>
      </c>
      <c r="Y10" s="2">
        <v>3.0092927268261569</v>
      </c>
      <c r="AA10" s="2">
        <f t="shared" si="4"/>
        <v>-0.31092727630344097</v>
      </c>
      <c r="AB10" s="2">
        <f t="shared" si="5"/>
        <v>1.221891929141556</v>
      </c>
      <c r="AK10" s="2"/>
      <c r="AL10" s="2"/>
    </row>
    <row r="11" spans="1:38" x14ac:dyDescent="0.25">
      <c r="B11">
        <v>9</v>
      </c>
      <c r="C11" s="2">
        <v>2.5396040449326569</v>
      </c>
      <c r="D11" s="2">
        <v>2.5694729130415932</v>
      </c>
      <c r="E11" s="2">
        <v>2.0895446598261995</v>
      </c>
      <c r="G11" s="2">
        <f t="shared" si="0"/>
        <v>-2.9868868108936297E-2</v>
      </c>
      <c r="H11" s="2">
        <f t="shared" si="1"/>
        <v>0.45005938510645738</v>
      </c>
      <c r="J11" s="2"/>
      <c r="L11">
        <v>9</v>
      </c>
      <c r="M11" s="2">
        <v>3.7734961254967399</v>
      </c>
      <c r="N11" s="2">
        <v>5.0216183646735102</v>
      </c>
      <c r="O11" s="2">
        <v>4.9483998203419004</v>
      </c>
      <c r="Q11" s="2">
        <f t="shared" si="2"/>
        <v>-1.2481222391767703</v>
      </c>
      <c r="R11" s="2">
        <f t="shared" si="3"/>
        <v>-1.1749036948451606</v>
      </c>
      <c r="V11">
        <v>9</v>
      </c>
      <c r="W11" s="2">
        <v>5.5086390723052139</v>
      </c>
      <c r="X11" s="2">
        <v>5.2874847057520098</v>
      </c>
      <c r="Y11" s="2">
        <v>5.6181963098827232</v>
      </c>
      <c r="AA11" s="2">
        <f t="shared" si="4"/>
        <v>0.22115436655320408</v>
      </c>
      <c r="AB11" s="2">
        <f t="shared" si="5"/>
        <v>-0.10955723757750935</v>
      </c>
      <c r="AK11" s="2"/>
      <c r="AL11" s="2"/>
    </row>
    <row r="12" spans="1:38" x14ac:dyDescent="0.25">
      <c r="B12">
        <v>10</v>
      </c>
      <c r="C12" s="2">
        <v>1.6659931691525331</v>
      </c>
      <c r="D12" s="2">
        <v>2.2475698233421064</v>
      </c>
      <c r="E12" s="2">
        <v>1.6437664425931402</v>
      </c>
      <c r="G12" s="2">
        <f t="shared" si="0"/>
        <v>-0.58157665418957327</v>
      </c>
      <c r="H12" s="2">
        <f t="shared" si="1"/>
        <v>2.2226726559392951E-2</v>
      </c>
      <c r="J12" s="2"/>
      <c r="L12">
        <v>10</v>
      </c>
      <c r="M12" s="2">
        <v>3.8791399489771465</v>
      </c>
      <c r="N12" s="2">
        <v>4.6398793437904304</v>
      </c>
      <c r="O12" s="2">
        <v>4.2037880626588029</v>
      </c>
      <c r="Q12" s="2">
        <f t="shared" si="2"/>
        <v>-0.7607393948132839</v>
      </c>
      <c r="R12" s="2">
        <f t="shared" si="3"/>
        <v>-0.32464811368165636</v>
      </c>
      <c r="V12">
        <v>10</v>
      </c>
      <c r="W12" s="2">
        <v>5.2831561314355637</v>
      </c>
      <c r="X12" s="2">
        <v>4.4674474000494797</v>
      </c>
      <c r="Y12" s="2">
        <v>4.5444882681140371</v>
      </c>
      <c r="AA12" s="2">
        <f t="shared" si="4"/>
        <v>0.81570873138608402</v>
      </c>
      <c r="AB12" s="2">
        <f t="shared" si="5"/>
        <v>0.73866786332152667</v>
      </c>
      <c r="AK12" s="2"/>
      <c r="AL12" s="2"/>
    </row>
    <row r="13" spans="1:38" x14ac:dyDescent="0.25">
      <c r="B13">
        <v>11</v>
      </c>
      <c r="C13" s="2">
        <v>1.4071760834904599</v>
      </c>
      <c r="D13" s="2">
        <v>1.5172071383808934</v>
      </c>
      <c r="E13" s="2">
        <v>1.3092149257781622</v>
      </c>
      <c r="G13" s="2">
        <f t="shared" si="0"/>
        <v>-0.11003105489043352</v>
      </c>
      <c r="H13" s="2">
        <f t="shared" si="1"/>
        <v>9.7961157712297631E-2</v>
      </c>
      <c r="J13" s="2"/>
      <c r="L13">
        <v>11</v>
      </c>
      <c r="M13" s="2">
        <v>3.0398102146263799</v>
      </c>
      <c r="N13" s="2">
        <v>3.1151892424798597</v>
      </c>
      <c r="O13" s="2">
        <v>3.0381825949699937</v>
      </c>
      <c r="Q13" s="2">
        <f t="shared" si="2"/>
        <v>-7.537902785347983E-2</v>
      </c>
      <c r="R13" s="2">
        <f t="shared" si="3"/>
        <v>1.6276196563862477E-3</v>
      </c>
      <c r="V13">
        <v>11</v>
      </c>
      <c r="W13" s="2">
        <v>2.9152292427505899</v>
      </c>
      <c r="X13" s="2">
        <v>2.2578969807275651</v>
      </c>
      <c r="Y13" s="2">
        <v>3.8812528663206969</v>
      </c>
      <c r="AA13" s="2">
        <f t="shared" si="4"/>
        <v>0.65733226202302486</v>
      </c>
      <c r="AB13" s="2">
        <f t="shared" si="5"/>
        <v>-0.96602362357010696</v>
      </c>
      <c r="AK13" s="2"/>
      <c r="AL13" s="2"/>
    </row>
    <row r="14" spans="1:38" x14ac:dyDescent="0.25">
      <c r="B14">
        <v>12</v>
      </c>
      <c r="C14" s="2">
        <v>1.1463441503994043</v>
      </c>
      <c r="D14" s="2">
        <v>1.7708102408699904</v>
      </c>
      <c r="E14" s="2">
        <v>1.5178991223048766</v>
      </c>
      <c r="G14" s="2">
        <f t="shared" si="0"/>
        <v>-0.6244660904705861</v>
      </c>
      <c r="H14" s="2">
        <f t="shared" si="1"/>
        <v>-0.37155497190547226</v>
      </c>
      <c r="J14" s="2"/>
      <c r="L14">
        <v>12</v>
      </c>
      <c r="M14" s="2">
        <v>1.9837091053061766</v>
      </c>
      <c r="N14" s="2">
        <v>2.1025874215905103</v>
      </c>
      <c r="O14" s="2">
        <v>3.6455780364361838</v>
      </c>
      <c r="Q14" s="2">
        <f t="shared" si="2"/>
        <v>-0.11887831628433365</v>
      </c>
      <c r="R14" s="2">
        <f t="shared" si="3"/>
        <v>-1.6618689311300072</v>
      </c>
      <c r="V14">
        <v>12</v>
      </c>
      <c r="W14" s="2">
        <v>3.0666367302356052</v>
      </c>
      <c r="X14" s="2">
        <v>3.5554559121833349</v>
      </c>
      <c r="Y14" s="2">
        <v>4.1052555976748</v>
      </c>
      <c r="AA14" s="2">
        <f t="shared" si="4"/>
        <v>-0.48881918194772966</v>
      </c>
      <c r="AB14" s="2">
        <f t="shared" si="5"/>
        <v>-1.0386188674391947</v>
      </c>
      <c r="AI14" s="3"/>
      <c r="AK14" s="2"/>
      <c r="AL14" s="2"/>
    </row>
    <row r="16" spans="1:38" x14ac:dyDescent="0.25">
      <c r="C16" s="2">
        <f>AVERAGE(C3:C14)</f>
        <v>1.9329630722020463</v>
      </c>
      <c r="D16" s="2">
        <f>AVERAGE(D3:D14)</f>
        <v>1.9995404264615528</v>
      </c>
      <c r="E16" s="2">
        <f>AVERAGE(E3:E14)</f>
        <v>1.8898783545262343</v>
      </c>
      <c r="G16" s="2">
        <f>AVERAGE(G3:G14)</f>
        <v>-6.6577354259505825E-2</v>
      </c>
      <c r="H16" s="2">
        <f>AVERAGE(H3:H14)</f>
        <v>4.3084717675812345E-2</v>
      </c>
      <c r="M16" s="2">
        <f>AVERAGE(M3:M14)</f>
        <v>3.7910778718805882</v>
      </c>
      <c r="N16" s="2">
        <f>AVERAGE(N3:N14)</f>
        <v>4.084375169391472</v>
      </c>
      <c r="O16" s="2">
        <f>AVERAGE(O3:O14)</f>
        <v>3.8166816184105534</v>
      </c>
      <c r="P16" s="2"/>
      <c r="Q16" s="2">
        <f>AVERAGE(Q3:Q14)</f>
        <v>-0.2932972975108834</v>
      </c>
      <c r="R16" s="2">
        <f>AVERAGE(R3:R14)</f>
        <v>-2.5603746529965127E-2</v>
      </c>
      <c r="W16" s="2">
        <f>AVERAGE(W3:W14)</f>
        <v>4.461242576029484</v>
      </c>
      <c r="X16" s="2">
        <f>AVERAGE(X3:X14)</f>
        <v>4.7335057399404032</v>
      </c>
      <c r="Y16" s="2">
        <f>AVERAGE(Y3:Y14)</f>
        <v>4.6895653008451248</v>
      </c>
      <c r="Z16" s="2"/>
      <c r="AA16" s="2">
        <f>AVERAGE(AA3:AA14)</f>
        <v>-0.2722631639109207</v>
      </c>
      <c r="AB16" s="2">
        <f>AVERAGE(AB3:AB14)</f>
        <v>-0.22832272481564198</v>
      </c>
      <c r="AG16" s="3"/>
      <c r="AH16" s="3"/>
      <c r="AI16" s="3"/>
      <c r="AK16" s="3"/>
      <c r="AL16" s="3"/>
    </row>
    <row r="17" spans="1:38" x14ac:dyDescent="0.25">
      <c r="C17" s="2">
        <f>STDEV(C3:C14)</f>
        <v>0.6495906397575788</v>
      </c>
      <c r="D17" s="2">
        <f>STDEV(D3:D14)</f>
        <v>0.61142002378650573</v>
      </c>
      <c r="E17" s="2">
        <f>STDEV(E3:E14)</f>
        <v>0.39548590852276977</v>
      </c>
      <c r="G17" s="2">
        <f>STDEV(G3:G14)</f>
        <v>0.38487633807202021</v>
      </c>
      <c r="H17" s="2">
        <f>STDEV(H3:H14)</f>
        <v>0.37881191263392944</v>
      </c>
      <c r="M17" s="2">
        <f>STDEV(M3:M14)</f>
        <v>1.3301907403095732</v>
      </c>
      <c r="N17" s="2">
        <f>STDEV(N3:N14)</f>
        <v>1.2389068695702756</v>
      </c>
      <c r="O17" s="2">
        <f>STDEV(O3:O14)</f>
        <v>1.0315495023647305</v>
      </c>
      <c r="P17" s="2"/>
      <c r="Q17" s="2">
        <f>STDEV(Q3:Q14)</f>
        <v>1.0019836392326209</v>
      </c>
      <c r="R17" s="2">
        <f>STDEV(R3:R14)</f>
        <v>1.1327442906650345</v>
      </c>
      <c r="W17" s="2">
        <f>STDEV(W3:W14)</f>
        <v>1.228577355836912</v>
      </c>
      <c r="X17" s="2">
        <f>STDEV(X3:X14)</f>
        <v>1.3064550385359812</v>
      </c>
      <c r="Y17" s="2">
        <f>STDEV(Y3:Y14)</f>
        <v>1.3439498168167847</v>
      </c>
      <c r="Z17" s="2"/>
      <c r="AA17" s="2">
        <f>STDEV(AA3:AA14)</f>
        <v>0.63435872436181218</v>
      </c>
      <c r="AB17" s="2">
        <f>STDEV(AB3:AB14)</f>
        <v>1.1114845141177137</v>
      </c>
      <c r="AG17" s="3"/>
      <c r="AH17" s="3"/>
      <c r="AI17" s="3"/>
      <c r="AK17" s="3"/>
      <c r="AL17" s="3"/>
    </row>
    <row r="20" spans="1:38" x14ac:dyDescent="0.25">
      <c r="A20" t="s">
        <v>16</v>
      </c>
      <c r="G20" t="s">
        <v>14</v>
      </c>
      <c r="H20" t="s">
        <v>15</v>
      </c>
      <c r="K20" t="s">
        <v>16</v>
      </c>
      <c r="Q20" t="s">
        <v>14</v>
      </c>
      <c r="R20" t="s">
        <v>15</v>
      </c>
      <c r="U20" t="s">
        <v>16</v>
      </c>
      <c r="AA20" t="s">
        <v>14</v>
      </c>
      <c r="AB20" t="s">
        <v>15</v>
      </c>
    </row>
    <row r="21" spans="1:38" x14ac:dyDescent="0.25">
      <c r="A21" s="1">
        <v>0.25</v>
      </c>
      <c r="B21" t="s">
        <v>1</v>
      </c>
      <c r="C21" t="s">
        <v>10</v>
      </c>
      <c r="D21" t="s">
        <v>11</v>
      </c>
      <c r="E21" t="s">
        <v>12</v>
      </c>
      <c r="G21" t="s">
        <v>13</v>
      </c>
      <c r="H21" t="s">
        <v>13</v>
      </c>
      <c r="J21" s="1"/>
      <c r="K21" s="1">
        <v>0.5</v>
      </c>
      <c r="L21" t="s">
        <v>1</v>
      </c>
      <c r="M21" t="s">
        <v>10</v>
      </c>
      <c r="N21" t="s">
        <v>11</v>
      </c>
      <c r="O21" t="s">
        <v>12</v>
      </c>
      <c r="Q21" t="s">
        <v>13</v>
      </c>
      <c r="R21" t="s">
        <v>13</v>
      </c>
      <c r="U21" s="1">
        <v>0.75</v>
      </c>
      <c r="V21" t="s">
        <v>1</v>
      </c>
      <c r="W21" t="s">
        <v>10</v>
      </c>
      <c r="X21" t="s">
        <v>11</v>
      </c>
      <c r="Y21" t="s">
        <v>12</v>
      </c>
      <c r="AA21" t="s">
        <v>13</v>
      </c>
      <c r="AB21" t="s">
        <v>13</v>
      </c>
    </row>
    <row r="22" spans="1:38" x14ac:dyDescent="0.25">
      <c r="B22">
        <v>1</v>
      </c>
      <c r="C22" s="2">
        <v>1.6651920319225599</v>
      </c>
      <c r="D22" s="2">
        <v>1.30926505430024</v>
      </c>
      <c r="E22" s="2">
        <v>1.7703722211575501</v>
      </c>
      <c r="G22" s="2">
        <f>C22-D22</f>
        <v>0.35592697762231995</v>
      </c>
      <c r="H22" s="2">
        <f>C22-E22</f>
        <v>-0.10518018923499017</v>
      </c>
      <c r="J22" s="2"/>
      <c r="L22">
        <v>1</v>
      </c>
      <c r="M22" s="2">
        <v>2.2469531988293969</v>
      </c>
      <c r="N22" s="2">
        <v>2.31609282037109</v>
      </c>
      <c r="O22" s="2">
        <v>2.4087337939404798</v>
      </c>
      <c r="Q22" s="2">
        <f>M22-N22</f>
        <v>-6.9139621541693064E-2</v>
      </c>
      <c r="R22" s="2">
        <f>M22-O22</f>
        <v>-0.16178059511108289</v>
      </c>
      <c r="V22">
        <v>1</v>
      </c>
      <c r="W22" s="2">
        <v>2.0463726288184669</v>
      </c>
      <c r="X22" s="2">
        <v>3.26031919614611</v>
      </c>
      <c r="Y22" s="2">
        <v>3.8183296736865935</v>
      </c>
      <c r="AA22" s="2">
        <f>W22-X22</f>
        <v>-1.2139465673276431</v>
      </c>
      <c r="AB22" s="2">
        <f>W22-Y22</f>
        <v>-1.7719570448681266</v>
      </c>
    </row>
    <row r="23" spans="1:38" x14ac:dyDescent="0.25">
      <c r="B23">
        <v>2</v>
      </c>
      <c r="C23" s="2">
        <v>1.37208285072583</v>
      </c>
      <c r="D23" s="2">
        <v>1.5697103305723867</v>
      </c>
      <c r="E23" s="2">
        <v>1.5719504223867868</v>
      </c>
      <c r="G23" s="2">
        <f t="shared" ref="G23:G33" si="6">C23-D23</f>
        <v>-0.19762747984655671</v>
      </c>
      <c r="H23" s="2">
        <f t="shared" ref="H23:H33" si="7">C23-E23</f>
        <v>-0.19986757166095681</v>
      </c>
      <c r="J23" s="2"/>
      <c r="L23">
        <v>2</v>
      </c>
      <c r="M23" s="2">
        <v>3.3932565115711228</v>
      </c>
      <c r="N23" s="2">
        <v>3.3055332777275361</v>
      </c>
      <c r="O23" s="2">
        <v>2.9231170131557662</v>
      </c>
      <c r="Q23" s="2">
        <f t="shared" ref="Q23:Q33" si="8">M23-N23</f>
        <v>8.7723233843586712E-2</v>
      </c>
      <c r="R23" s="2">
        <f t="shared" ref="R23:R33" si="9">M23-O23</f>
        <v>0.47013949841535663</v>
      </c>
      <c r="V23">
        <v>2</v>
      </c>
      <c r="W23" s="2">
        <v>3.7840097703254263</v>
      </c>
      <c r="X23" s="2">
        <v>3.2751326004262533</v>
      </c>
      <c r="Y23" s="2">
        <v>4.0255182577655368</v>
      </c>
      <c r="AA23" s="2">
        <f t="shared" ref="AA23:AA33" si="10">W23-X23</f>
        <v>0.50887716989917298</v>
      </c>
      <c r="AB23" s="2">
        <f t="shared" ref="AB23:AB33" si="11">W23-Y23</f>
        <v>-0.24150848744011055</v>
      </c>
    </row>
    <row r="24" spans="1:38" x14ac:dyDescent="0.25">
      <c r="B24">
        <v>3</v>
      </c>
      <c r="C24" s="2">
        <v>2.09666721194559</v>
      </c>
      <c r="D24" s="2">
        <v>2.6146974702018198</v>
      </c>
      <c r="E24" s="2">
        <v>2.9151794211575033</v>
      </c>
      <c r="G24" s="2">
        <f t="shared" si="6"/>
        <v>-0.51803025825622973</v>
      </c>
      <c r="H24" s="2">
        <f t="shared" si="7"/>
        <v>-0.81851220921191326</v>
      </c>
      <c r="J24" s="2"/>
      <c r="L24">
        <v>3</v>
      </c>
      <c r="M24" s="2">
        <v>4.5095576633582697</v>
      </c>
      <c r="N24" s="2">
        <v>5.9984004498522632</v>
      </c>
      <c r="O24" s="2">
        <v>4.834500262754883</v>
      </c>
      <c r="Q24" s="2">
        <f t="shared" si="8"/>
        <v>-1.4888427864939935</v>
      </c>
      <c r="R24" s="2">
        <f t="shared" si="9"/>
        <v>-0.3249425993966133</v>
      </c>
      <c r="V24">
        <v>3</v>
      </c>
      <c r="W24" s="2">
        <v>5.5222251163220433</v>
      </c>
      <c r="X24" s="2">
        <v>6.7015322966185593</v>
      </c>
      <c r="Y24" s="2">
        <v>6.6254557593793963</v>
      </c>
      <c r="AA24" s="2">
        <f t="shared" si="10"/>
        <v>-1.179307180296516</v>
      </c>
      <c r="AB24" s="2">
        <f t="shared" si="11"/>
        <v>-1.1032306430573531</v>
      </c>
    </row>
    <row r="25" spans="1:38" x14ac:dyDescent="0.25">
      <c r="B25">
        <v>4</v>
      </c>
      <c r="C25" s="2">
        <v>2.4008483923452233</v>
      </c>
      <c r="D25" s="2">
        <v>3.0232894560119163</v>
      </c>
      <c r="E25" s="2">
        <v>3.0598709503784103</v>
      </c>
      <c r="G25" s="2">
        <f t="shared" si="6"/>
        <v>-0.62244106366669305</v>
      </c>
      <c r="H25" s="2">
        <f t="shared" si="7"/>
        <v>-0.65902255803318699</v>
      </c>
      <c r="J25" s="2"/>
      <c r="L25">
        <v>4</v>
      </c>
      <c r="M25" s="2">
        <v>5.976943413450587</v>
      </c>
      <c r="N25" s="2">
        <v>5.6842680340754894</v>
      </c>
      <c r="O25" s="2">
        <v>6.7201560695937133</v>
      </c>
      <c r="Q25" s="2">
        <f t="shared" si="8"/>
        <v>0.29267537937509758</v>
      </c>
      <c r="R25" s="2">
        <f t="shared" si="9"/>
        <v>-0.74321265614312626</v>
      </c>
      <c r="V25">
        <v>4</v>
      </c>
      <c r="W25" s="2">
        <v>7.0840392803287999</v>
      </c>
      <c r="X25" s="2">
        <v>6.9865708467024561</v>
      </c>
      <c r="Y25" s="2">
        <v>7.4908306700431133</v>
      </c>
      <c r="AA25" s="2">
        <f t="shared" si="10"/>
        <v>9.7468433626343831E-2</v>
      </c>
      <c r="AB25" s="2">
        <f t="shared" si="11"/>
        <v>-0.40679138971431339</v>
      </c>
    </row>
    <row r="26" spans="1:38" x14ac:dyDescent="0.25">
      <c r="B26">
        <v>5</v>
      </c>
      <c r="C26" s="2">
        <v>2.3303628525474234</v>
      </c>
      <c r="D26" s="2">
        <v>2.7414447399555271</v>
      </c>
      <c r="E26" s="2">
        <v>2.4794046047685701</v>
      </c>
      <c r="G26" s="2">
        <f t="shared" si="6"/>
        <v>-0.4110818874081037</v>
      </c>
      <c r="H26" s="2">
        <f t="shared" si="7"/>
        <v>-0.14904175222114668</v>
      </c>
      <c r="J26" s="2"/>
      <c r="L26">
        <v>5</v>
      </c>
      <c r="M26" s="2">
        <v>4.9821227045099272</v>
      </c>
      <c r="N26" s="2">
        <v>3.9551688128039029</v>
      </c>
      <c r="O26" s="2">
        <v>4.3572371184205769</v>
      </c>
      <c r="Q26" s="2">
        <f t="shared" si="8"/>
        <v>1.0269538917060244</v>
      </c>
      <c r="R26" s="2">
        <f t="shared" si="9"/>
        <v>0.6248855860893503</v>
      </c>
      <c r="V26">
        <v>5</v>
      </c>
      <c r="W26" s="2">
        <v>5.5829061324068094</v>
      </c>
      <c r="X26" s="2">
        <v>5.5991527612334266</v>
      </c>
      <c r="Y26" s="2">
        <v>3.651856056092647</v>
      </c>
      <c r="AA26" s="2">
        <f t="shared" si="10"/>
        <v>-1.6246628826617204E-2</v>
      </c>
      <c r="AB26" s="2">
        <f t="shared" si="11"/>
        <v>1.9310500763141625</v>
      </c>
    </row>
    <row r="27" spans="1:38" x14ac:dyDescent="0.25">
      <c r="B27">
        <v>6</v>
      </c>
      <c r="C27" s="2">
        <v>2.3121354873660196</v>
      </c>
      <c r="D27" s="2">
        <v>1.7718025914900466</v>
      </c>
      <c r="E27" s="2">
        <v>1.7675098153499167</v>
      </c>
      <c r="G27" s="2">
        <f t="shared" si="6"/>
        <v>0.540332895875973</v>
      </c>
      <c r="H27" s="2">
        <f t="shared" si="7"/>
        <v>0.5446256720161029</v>
      </c>
      <c r="J27" s="2"/>
      <c r="L27">
        <v>6</v>
      </c>
      <c r="M27" s="2">
        <v>4.7906369349364448</v>
      </c>
      <c r="N27" s="2">
        <v>3.9029610949950704</v>
      </c>
      <c r="O27" s="2">
        <v>2.9763414742153098</v>
      </c>
      <c r="Q27" s="2">
        <f t="shared" si="8"/>
        <v>0.88767583994137444</v>
      </c>
      <c r="R27" s="2">
        <f t="shared" si="9"/>
        <v>1.814295460721135</v>
      </c>
      <c r="V27">
        <v>6</v>
      </c>
      <c r="W27" s="2">
        <v>6.7488377024335957</v>
      </c>
      <c r="X27" s="2">
        <v>6.1030077994693466</v>
      </c>
      <c r="Y27" s="2">
        <v>6.2716293097676834</v>
      </c>
      <c r="AA27" s="2">
        <f t="shared" si="10"/>
        <v>0.64582990296424914</v>
      </c>
      <c r="AB27" s="2">
        <f t="shared" si="11"/>
        <v>0.47720839266591231</v>
      </c>
    </row>
    <row r="28" spans="1:38" x14ac:dyDescent="0.25">
      <c r="B28">
        <v>7</v>
      </c>
      <c r="C28" s="2">
        <v>2.1</v>
      </c>
      <c r="D28" s="2">
        <v>2.17</v>
      </c>
      <c r="E28" s="2">
        <v>2.2599999999999998</v>
      </c>
      <c r="G28" s="2">
        <f t="shared" si="6"/>
        <v>-6.999999999999984E-2</v>
      </c>
      <c r="H28" s="2">
        <f t="shared" si="7"/>
        <v>-0.1599999999999997</v>
      </c>
      <c r="J28" s="2"/>
      <c r="L28">
        <v>7</v>
      </c>
      <c r="M28" s="2">
        <v>4.7300000000000004</v>
      </c>
      <c r="N28" s="2">
        <v>4.1900000000000004</v>
      </c>
      <c r="O28" s="2">
        <v>4.04</v>
      </c>
      <c r="Q28" s="2">
        <f t="shared" si="8"/>
        <v>0.54</v>
      </c>
      <c r="R28" s="2">
        <f t="shared" si="9"/>
        <v>0.69000000000000039</v>
      </c>
      <c r="V28">
        <v>7</v>
      </c>
      <c r="W28" s="2">
        <v>5.74</v>
      </c>
      <c r="X28" s="2">
        <v>5.32</v>
      </c>
      <c r="Y28" s="2">
        <v>5.31</v>
      </c>
      <c r="AA28" s="2">
        <f t="shared" si="10"/>
        <v>0.41999999999999993</v>
      </c>
      <c r="AB28" s="2">
        <f t="shared" si="11"/>
        <v>0.4300000000000006</v>
      </c>
    </row>
    <row r="29" spans="1:38" x14ac:dyDescent="0.25">
      <c r="B29">
        <v>8</v>
      </c>
      <c r="C29" s="2">
        <v>2.2441066560415468</v>
      </c>
      <c r="D29" s="2">
        <v>1.3380053015201108</v>
      </c>
      <c r="E29" s="2">
        <v>1.6702309383970835</v>
      </c>
      <c r="G29" s="2">
        <f t="shared" si="6"/>
        <v>0.90610135452143603</v>
      </c>
      <c r="H29" s="2">
        <f t="shared" si="7"/>
        <v>0.57387571764446332</v>
      </c>
      <c r="J29" s="2"/>
      <c r="L29">
        <v>8</v>
      </c>
      <c r="M29" s="2">
        <v>3.1528770207091568</v>
      </c>
      <c r="N29" s="2">
        <v>3.6965287916824199</v>
      </c>
      <c r="O29" s="2">
        <v>2.9668808172380365</v>
      </c>
      <c r="Q29" s="2">
        <f t="shared" si="8"/>
        <v>-0.54365177097326312</v>
      </c>
      <c r="R29" s="2">
        <f t="shared" si="9"/>
        <v>0.18599620347112023</v>
      </c>
      <c r="V29">
        <v>8</v>
      </c>
      <c r="W29" s="2">
        <v>4.3245069433201975</v>
      </c>
      <c r="X29" s="2">
        <v>4.9213937850849234</v>
      </c>
      <c r="Y29" s="2">
        <v>3.4401012215888298</v>
      </c>
      <c r="AA29" s="2">
        <f t="shared" si="10"/>
        <v>-0.59688684176472595</v>
      </c>
      <c r="AB29" s="2">
        <f t="shared" si="11"/>
        <v>0.88440572173136767</v>
      </c>
    </row>
    <row r="30" spans="1:38" x14ac:dyDescent="0.25">
      <c r="B30">
        <v>9</v>
      </c>
      <c r="C30" s="2">
        <v>2.2783958372451867</v>
      </c>
      <c r="D30" s="2">
        <v>1.88153875460243</v>
      </c>
      <c r="E30" s="2">
        <v>2.2667018158208232</v>
      </c>
      <c r="G30" s="2">
        <f t="shared" si="6"/>
        <v>0.39685708264275665</v>
      </c>
      <c r="H30" s="2">
        <f t="shared" si="7"/>
        <v>1.1694021424363488E-2</v>
      </c>
      <c r="J30" s="2"/>
      <c r="L30">
        <v>9</v>
      </c>
      <c r="M30" s="2">
        <v>3.6196542433091068</v>
      </c>
      <c r="N30" s="2">
        <v>3.979618895893593</v>
      </c>
      <c r="O30" s="2">
        <v>4.5674167460861002</v>
      </c>
      <c r="Q30" s="2">
        <f t="shared" si="8"/>
        <v>-0.35996465258448618</v>
      </c>
      <c r="R30" s="2">
        <f t="shared" si="9"/>
        <v>-0.94776250277699337</v>
      </c>
      <c r="V30">
        <v>9</v>
      </c>
      <c r="W30" s="2">
        <v>3.6647738397246035</v>
      </c>
      <c r="X30" s="2">
        <v>5.3402160102430045</v>
      </c>
      <c r="Y30" s="2">
        <v>5.3981253697111171</v>
      </c>
      <c r="AA30" s="2">
        <f t="shared" si="10"/>
        <v>-1.6754421705184011</v>
      </c>
      <c r="AB30" s="2">
        <f t="shared" si="11"/>
        <v>-1.7333515299865137</v>
      </c>
    </row>
    <row r="31" spans="1:38" x14ac:dyDescent="0.25">
      <c r="B31">
        <v>10</v>
      </c>
      <c r="C31" s="2">
        <v>1.6236139560471667</v>
      </c>
      <c r="D31" s="2">
        <v>2.0513029760375767</v>
      </c>
      <c r="E31" s="2">
        <v>1.99798627123005</v>
      </c>
      <c r="G31" s="2">
        <f t="shared" si="6"/>
        <v>-0.42768901999040998</v>
      </c>
      <c r="H31" s="2">
        <f t="shared" si="7"/>
        <v>-0.37437231518288328</v>
      </c>
      <c r="J31" s="2"/>
      <c r="L31">
        <v>10</v>
      </c>
      <c r="M31" s="2">
        <v>3.6091044003758896</v>
      </c>
      <c r="N31" s="2">
        <v>3.7508001785809371</v>
      </c>
      <c r="O31" s="2">
        <v>3.4283868684560002</v>
      </c>
      <c r="Q31" s="2">
        <f t="shared" si="8"/>
        <v>-0.14169577820504742</v>
      </c>
      <c r="R31" s="2">
        <f t="shared" si="9"/>
        <v>0.18071753191988948</v>
      </c>
      <c r="V31">
        <v>10</v>
      </c>
      <c r="W31" s="2">
        <v>3.7673163569389065</v>
      </c>
      <c r="X31" s="2">
        <v>4.6979355782215562</v>
      </c>
      <c r="Y31" s="2">
        <v>3.2767966174982366</v>
      </c>
      <c r="AA31" s="2">
        <f t="shared" si="10"/>
        <v>-0.93061922128264962</v>
      </c>
      <c r="AB31" s="2">
        <f t="shared" si="11"/>
        <v>0.49051973944066996</v>
      </c>
    </row>
    <row r="32" spans="1:38" x14ac:dyDescent="0.25">
      <c r="B32">
        <v>11</v>
      </c>
      <c r="C32" s="2">
        <v>1.2211127741231049</v>
      </c>
      <c r="D32" s="2">
        <v>1.8995816638473813</v>
      </c>
      <c r="E32" s="2">
        <v>2.1180987812599534</v>
      </c>
      <c r="G32" s="2">
        <f t="shared" si="6"/>
        <v>-0.67846888972427633</v>
      </c>
      <c r="H32" s="2">
        <f t="shared" si="7"/>
        <v>-0.89698600713684851</v>
      </c>
      <c r="J32" s="2"/>
      <c r="L32">
        <v>11</v>
      </c>
      <c r="M32" s="2">
        <v>2.054981070643537</v>
      </c>
      <c r="N32" s="2">
        <v>2.9213221993591798</v>
      </c>
      <c r="O32" s="2">
        <v>3.1611604733732563</v>
      </c>
      <c r="Q32" s="2">
        <f t="shared" si="8"/>
        <v>-0.86634112871564284</v>
      </c>
      <c r="R32" s="2">
        <f t="shared" si="9"/>
        <v>-1.1061794027297194</v>
      </c>
      <c r="V32">
        <v>11</v>
      </c>
      <c r="W32" s="2">
        <v>2.8593495059932899</v>
      </c>
      <c r="X32" s="2">
        <v>3.2736647286990768</v>
      </c>
      <c r="Y32" s="2">
        <v>5.7655364833848353</v>
      </c>
      <c r="AA32" s="2">
        <f t="shared" si="10"/>
        <v>-0.41431522270578691</v>
      </c>
      <c r="AB32" s="2">
        <f t="shared" si="11"/>
        <v>-2.9061869773915454</v>
      </c>
    </row>
    <row r="33" spans="1:28" x14ac:dyDescent="0.25">
      <c r="B33">
        <v>12</v>
      </c>
      <c r="C33" s="2">
        <v>1.4156891862967032</v>
      </c>
      <c r="D33" s="2">
        <v>1.5485077256236668</v>
      </c>
      <c r="E33" s="2">
        <v>1.68627452637567</v>
      </c>
      <c r="G33" s="2">
        <f t="shared" si="6"/>
        <v>-0.13281853932696364</v>
      </c>
      <c r="H33" s="2">
        <f t="shared" si="7"/>
        <v>-0.27058534007896684</v>
      </c>
      <c r="J33" s="2"/>
      <c r="L33">
        <v>12</v>
      </c>
      <c r="M33" s="2">
        <v>2.3829434029758199</v>
      </c>
      <c r="N33" s="2">
        <v>2.8515598977695205</v>
      </c>
      <c r="O33" s="2">
        <v>3.2474806690525964</v>
      </c>
      <c r="Q33" s="2">
        <f t="shared" si="8"/>
        <v>-0.4686164947937006</v>
      </c>
      <c r="R33" s="2">
        <f t="shared" si="9"/>
        <v>-0.8645372660767765</v>
      </c>
      <c r="V33">
        <v>12</v>
      </c>
      <c r="W33" s="2">
        <v>2.9157540001643034</v>
      </c>
      <c r="X33" s="2">
        <v>3.2647015605251837</v>
      </c>
      <c r="Y33" s="2">
        <v>4.6283114536793164</v>
      </c>
      <c r="AA33" s="2">
        <f t="shared" si="10"/>
        <v>-0.34894756036088026</v>
      </c>
      <c r="AB33" s="2">
        <f t="shared" si="11"/>
        <v>-1.712557453515013</v>
      </c>
    </row>
    <row r="35" spans="1:28" x14ac:dyDescent="0.25">
      <c r="C35" s="2">
        <f>AVERAGE(C22:C33)</f>
        <v>1.9216839363838627</v>
      </c>
      <c r="D35" s="2">
        <f>AVERAGE(D22:D33)</f>
        <v>1.9932621720135917</v>
      </c>
      <c r="E35" s="2">
        <f>AVERAGE(E22:E33)</f>
        <v>2.1302983140235265</v>
      </c>
      <c r="F35" s="2"/>
      <c r="G35" s="2">
        <f>AVERAGE(G22:G33)</f>
        <v>-7.157823562972894E-2</v>
      </c>
      <c r="H35" s="2">
        <f>AVERAGE(H22:H33)</f>
        <v>-0.20861437763966353</v>
      </c>
      <c r="I35" s="2"/>
      <c r="J35" s="2"/>
      <c r="K35" s="2"/>
      <c r="L35" s="2"/>
      <c r="M35" s="2">
        <f>AVERAGE(M22:M33)</f>
        <v>3.7874192137224383</v>
      </c>
      <c r="N35" s="2">
        <f>AVERAGE(N22:N33)</f>
        <v>3.8793545377592511</v>
      </c>
      <c r="O35" s="2">
        <f>AVERAGE(O22:O33)</f>
        <v>3.802617608857227</v>
      </c>
      <c r="P35" s="2"/>
      <c r="Q35" s="2">
        <f>AVERAGE(Q22:Q33)</f>
        <v>-9.1935324036811969E-2</v>
      </c>
      <c r="R35" s="2">
        <f>AVERAGE(R22:R33)</f>
        <v>-1.5198395134788304E-2</v>
      </c>
      <c r="S35" s="2"/>
      <c r="T35" s="2"/>
      <c r="U35" s="2"/>
      <c r="V35" s="2"/>
      <c r="W35" s="2">
        <f>AVERAGE(W22:W33)</f>
        <v>4.5033409397313706</v>
      </c>
      <c r="X35" s="2">
        <f>AVERAGE(X22:X33)</f>
        <v>4.8953022636141572</v>
      </c>
      <c r="Y35" s="2">
        <f>AVERAGE(Y22:Y33)</f>
        <v>4.9752075727164424</v>
      </c>
      <c r="Z35" s="2"/>
      <c r="AA35" s="2">
        <f>AVERAGE(AA22:AA33)</f>
        <v>-0.39196132388278787</v>
      </c>
      <c r="AB35" s="2">
        <f>AVERAGE(AB22:AB33)</f>
        <v>-0.47186663298507187</v>
      </c>
    </row>
    <row r="36" spans="1:28" x14ac:dyDescent="0.25">
      <c r="C36" s="2">
        <f>STDEV(C22:C33)</f>
        <v>0.43129939040183285</v>
      </c>
      <c r="D36" s="2">
        <f>STDEV(D22:D33)</f>
        <v>0.55483322589400752</v>
      </c>
      <c r="E36" s="2">
        <f>STDEV(E22:E33)</f>
        <v>0.48960432615184979</v>
      </c>
      <c r="F36" s="2"/>
      <c r="G36" s="2">
        <f>STDEV(G22:G33)</f>
        <v>0.51037324990193056</v>
      </c>
      <c r="H36" s="2">
        <f>STDEV(H22:H33)</f>
        <v>0.45973302469451371</v>
      </c>
      <c r="I36" s="2"/>
      <c r="J36" s="2"/>
      <c r="K36" s="2"/>
      <c r="L36" s="2"/>
      <c r="M36" s="2">
        <f>STDEV(M22:M33)</f>
        <v>1.2285468127167132</v>
      </c>
      <c r="N36" s="2">
        <f>STDEV(N22:N33)</f>
        <v>1.0727248321629983</v>
      </c>
      <c r="O36" s="2">
        <f>STDEV(O22:O33)</f>
        <v>1.1864001298864899</v>
      </c>
      <c r="P36" s="2"/>
      <c r="Q36" s="2">
        <f>STDEV(Q22:Q33)</f>
        <v>0.72381079168133622</v>
      </c>
      <c r="R36" s="2">
        <f>STDEV(R22:R33)</f>
        <v>0.85265359614324776</v>
      </c>
      <c r="S36" s="2"/>
      <c r="T36" s="2"/>
      <c r="U36" s="2"/>
      <c r="V36" s="2"/>
      <c r="W36" s="2">
        <f>STDEV(W22:W33)</f>
        <v>1.609329350475317</v>
      </c>
      <c r="X36" s="2">
        <f>STDEV(X22:X33)</f>
        <v>1.3682924496107929</v>
      </c>
      <c r="Y36" s="2">
        <f>STDEV(Y22:Y33)</f>
        <v>1.3817306963413984</v>
      </c>
      <c r="Z36" s="2"/>
      <c r="AA36" s="2">
        <f>STDEV(AA22:AA33)</f>
        <v>0.75111419263692902</v>
      </c>
      <c r="AB36" s="2">
        <f>STDEV(AB22:AB33)</f>
        <v>1.3966357767320166</v>
      </c>
    </row>
    <row r="40" spans="1:28" x14ac:dyDescent="0.25">
      <c r="A40" t="s">
        <v>17</v>
      </c>
      <c r="G40" t="s">
        <v>14</v>
      </c>
      <c r="H40" t="s">
        <v>15</v>
      </c>
      <c r="K40" t="s">
        <v>17</v>
      </c>
      <c r="Q40" t="s">
        <v>14</v>
      </c>
      <c r="R40" t="s">
        <v>15</v>
      </c>
      <c r="U40" t="s">
        <v>17</v>
      </c>
      <c r="AA40" t="s">
        <v>14</v>
      </c>
      <c r="AB40" t="s">
        <v>15</v>
      </c>
    </row>
    <row r="41" spans="1:28" x14ac:dyDescent="0.25">
      <c r="A41" s="1">
        <v>0.25</v>
      </c>
      <c r="B41" t="s">
        <v>1</v>
      </c>
      <c r="C41" t="s">
        <v>10</v>
      </c>
      <c r="D41" t="s">
        <v>11</v>
      </c>
      <c r="E41" t="s">
        <v>12</v>
      </c>
      <c r="G41" t="s">
        <v>13</v>
      </c>
      <c r="H41" t="s">
        <v>13</v>
      </c>
      <c r="J41" s="1"/>
      <c r="K41" s="1">
        <v>0.5</v>
      </c>
      <c r="L41" t="s">
        <v>1</v>
      </c>
      <c r="M41" t="s">
        <v>10</v>
      </c>
      <c r="N41" t="s">
        <v>11</v>
      </c>
      <c r="O41" t="s">
        <v>12</v>
      </c>
      <c r="Q41" t="s">
        <v>13</v>
      </c>
      <c r="R41" t="s">
        <v>13</v>
      </c>
      <c r="U41" s="1">
        <v>0.75</v>
      </c>
      <c r="V41" t="s">
        <v>1</v>
      </c>
      <c r="W41" t="s">
        <v>10</v>
      </c>
      <c r="X41" t="s">
        <v>11</v>
      </c>
      <c r="Y41" t="s">
        <v>12</v>
      </c>
      <c r="AA41" t="s">
        <v>13</v>
      </c>
      <c r="AB41" t="s">
        <v>13</v>
      </c>
    </row>
    <row r="42" spans="1:28" x14ac:dyDescent="0.25">
      <c r="B42">
        <v>1</v>
      </c>
      <c r="C42" s="2">
        <v>1.44515053421794</v>
      </c>
      <c r="D42" s="2">
        <v>1.5160856702927399</v>
      </c>
      <c r="E42" s="2">
        <v>2.0142081153590632</v>
      </c>
      <c r="G42" s="2">
        <f>C42-D42</f>
        <v>-7.0935136074799843E-2</v>
      </c>
      <c r="H42" s="2">
        <f>C42-E42</f>
        <v>-0.56905758114112315</v>
      </c>
      <c r="J42" s="2"/>
      <c r="L42">
        <v>1</v>
      </c>
      <c r="M42" s="2">
        <v>2.8802284185993767</v>
      </c>
      <c r="N42" s="2">
        <v>2.8959303953147972</v>
      </c>
      <c r="O42" s="2">
        <v>3.7379435663762535</v>
      </c>
      <c r="Q42" s="2">
        <f>M42-N42</f>
        <v>-1.5701976715420507E-2</v>
      </c>
      <c r="R42" s="2">
        <f>M42-O42</f>
        <v>-0.85771514777687674</v>
      </c>
      <c r="V42">
        <v>1</v>
      </c>
      <c r="W42" s="2">
        <v>2.1913411066367767</v>
      </c>
      <c r="X42" s="2">
        <v>3.9882418610750432</v>
      </c>
      <c r="Y42" s="2">
        <v>5.1450637265824</v>
      </c>
      <c r="AA42" s="2">
        <f>W42-X42</f>
        <v>-1.7969007544382665</v>
      </c>
      <c r="AB42" s="2">
        <f>W42-Y42</f>
        <v>-2.9537226199456232</v>
      </c>
    </row>
    <row r="43" spans="1:28" x14ac:dyDescent="0.25">
      <c r="B43">
        <v>2</v>
      </c>
      <c r="C43" s="2">
        <v>1.5030823973620866</v>
      </c>
      <c r="D43" s="2">
        <v>1.384069904834843</v>
      </c>
      <c r="E43" s="2">
        <v>1.4954464922044501</v>
      </c>
      <c r="G43" s="2">
        <f t="shared" ref="G43:G53" si="12">C43-D43</f>
        <v>0.11901249252724355</v>
      </c>
      <c r="H43" s="2">
        <f t="shared" ref="H43:H53" si="13">C43-E43</f>
        <v>7.6359051576364578E-3</v>
      </c>
      <c r="J43" s="2"/>
      <c r="L43">
        <v>2</v>
      </c>
      <c r="M43" s="2">
        <v>3.3041678611518903</v>
      </c>
      <c r="N43" s="2">
        <v>2.8035011900553131</v>
      </c>
      <c r="O43" s="2">
        <v>2.6851067717039103</v>
      </c>
      <c r="Q43" s="2">
        <f t="shared" ref="Q43:Q53" si="14">M43-N43</f>
        <v>0.50066667109657725</v>
      </c>
      <c r="R43" s="2">
        <f t="shared" ref="R43:R53" si="15">M43-O43</f>
        <v>0.61906108944798</v>
      </c>
      <c r="V43">
        <v>2</v>
      </c>
      <c r="W43" s="2">
        <v>3.3875274207066597</v>
      </c>
      <c r="X43" s="2">
        <v>4.4306079877913396</v>
      </c>
      <c r="Y43" s="2">
        <v>3.6284102010754666</v>
      </c>
      <c r="AA43" s="2">
        <f t="shared" ref="AA43:AA53" si="16">W43-X43</f>
        <v>-1.0430805670846799</v>
      </c>
      <c r="AB43" s="2">
        <f t="shared" ref="AB43:AB53" si="17">W43-Y43</f>
        <v>-0.24088278036880695</v>
      </c>
    </row>
    <row r="44" spans="1:28" x14ac:dyDescent="0.25">
      <c r="B44">
        <v>3</v>
      </c>
      <c r="C44" s="2">
        <v>2.2473798258063531</v>
      </c>
      <c r="D44" s="2">
        <v>2.1120996217189134</v>
      </c>
      <c r="E44" s="2">
        <v>3.1907439968534503</v>
      </c>
      <c r="G44" s="2">
        <f t="shared" si="12"/>
        <v>0.13528020408743968</v>
      </c>
      <c r="H44" s="2">
        <f t="shared" si="13"/>
        <v>-0.94336417104709724</v>
      </c>
      <c r="J44" s="2"/>
      <c r="L44">
        <v>3</v>
      </c>
      <c r="M44" s="2">
        <v>5.885327692238346</v>
      </c>
      <c r="N44" s="2">
        <v>5.8785895000846198</v>
      </c>
      <c r="O44" s="2">
        <v>6.3126365002206253</v>
      </c>
      <c r="Q44" s="2">
        <f t="shared" si="14"/>
        <v>6.7381921537261746E-3</v>
      </c>
      <c r="R44" s="2">
        <f t="shared" si="15"/>
        <v>-0.42730880798227933</v>
      </c>
      <c r="V44">
        <v>3</v>
      </c>
      <c r="W44" s="2">
        <v>7.855494521788505</v>
      </c>
      <c r="X44" s="2">
        <v>7.2074787171341193</v>
      </c>
      <c r="Y44" s="2">
        <v>8.9782131690823306</v>
      </c>
      <c r="AA44" s="2">
        <f t="shared" si="16"/>
        <v>0.6480158046543858</v>
      </c>
      <c r="AB44" s="2">
        <f t="shared" si="17"/>
        <v>-1.1227186472938255</v>
      </c>
    </row>
    <row r="45" spans="1:28" x14ac:dyDescent="0.25">
      <c r="B45">
        <v>4</v>
      </c>
      <c r="C45" s="2">
        <v>1.8762876340606833</v>
      </c>
      <c r="D45" s="2">
        <v>3.00159162803824</v>
      </c>
      <c r="E45" s="2">
        <v>2.4818093257604765</v>
      </c>
      <c r="G45" s="2">
        <f t="shared" si="12"/>
        <v>-1.1253039939775566</v>
      </c>
      <c r="H45" s="2">
        <f t="shared" si="13"/>
        <v>-0.6055216916997932</v>
      </c>
      <c r="J45" s="2"/>
      <c r="L45">
        <v>4</v>
      </c>
      <c r="M45" s="2">
        <v>4.4148016554088594</v>
      </c>
      <c r="N45" s="2">
        <v>6.2232464987537597</v>
      </c>
      <c r="O45" s="2">
        <v>6.4209195147774132</v>
      </c>
      <c r="Q45" s="2">
        <f t="shared" si="14"/>
        <v>-1.8084448433449003</v>
      </c>
      <c r="R45" s="2">
        <f t="shared" si="15"/>
        <v>-2.0061178593685538</v>
      </c>
      <c r="V45">
        <v>4</v>
      </c>
      <c r="W45" s="2">
        <v>4.5035528651106667</v>
      </c>
      <c r="X45" s="2">
        <v>6.9349960280899339</v>
      </c>
      <c r="Y45" s="2">
        <v>6.1837378743521967</v>
      </c>
      <c r="AA45" s="2">
        <f t="shared" si="16"/>
        <v>-2.4314431629792672</v>
      </c>
      <c r="AB45" s="2">
        <f t="shared" si="17"/>
        <v>-1.68018500924153</v>
      </c>
    </row>
    <row r="46" spans="1:28" x14ac:dyDescent="0.25">
      <c r="B46">
        <v>5</v>
      </c>
      <c r="C46" s="2">
        <v>1.8897833464563334</v>
      </c>
      <c r="D46" s="2">
        <v>2.3367406142904064</v>
      </c>
      <c r="E46" s="2">
        <v>2.1003499595251101</v>
      </c>
      <c r="G46" s="2">
        <f t="shared" si="12"/>
        <v>-0.44695726783407297</v>
      </c>
      <c r="H46" s="2">
        <f t="shared" si="13"/>
        <v>-0.21056661306877666</v>
      </c>
      <c r="J46" s="2"/>
      <c r="L46">
        <v>5</v>
      </c>
      <c r="M46" s="2">
        <v>3.9584101886050203</v>
      </c>
      <c r="N46" s="2">
        <v>4.6465058213942774</v>
      </c>
      <c r="O46" s="2">
        <v>3.5429956473374666</v>
      </c>
      <c r="Q46" s="2">
        <f t="shared" si="14"/>
        <v>-0.68809563278925712</v>
      </c>
      <c r="R46" s="2">
        <f t="shared" si="15"/>
        <v>0.41541454126755362</v>
      </c>
      <c r="V46">
        <v>5</v>
      </c>
      <c r="W46" s="2">
        <v>4.9320471912920363</v>
      </c>
      <c r="X46" s="2">
        <v>5.1064117596714125</v>
      </c>
      <c r="Y46" s="2">
        <v>5.6668916305508263</v>
      </c>
      <c r="AA46" s="2">
        <f t="shared" si="16"/>
        <v>-0.17436456837937619</v>
      </c>
      <c r="AB46" s="2">
        <f t="shared" si="17"/>
        <v>-0.73484443925879006</v>
      </c>
    </row>
    <row r="47" spans="1:28" x14ac:dyDescent="0.25">
      <c r="B47">
        <v>6</v>
      </c>
      <c r="C47" s="2">
        <v>1.4140163499724432</v>
      </c>
      <c r="D47" s="2">
        <v>1.3456132002590433</v>
      </c>
      <c r="E47" s="2">
        <v>1.2184628284390271</v>
      </c>
      <c r="G47" s="2">
        <f t="shared" si="12"/>
        <v>6.8403149713399891E-2</v>
      </c>
      <c r="H47" s="2">
        <f t="shared" si="13"/>
        <v>0.1955535215334161</v>
      </c>
      <c r="J47" s="2"/>
      <c r="L47">
        <v>6</v>
      </c>
      <c r="M47" s="2">
        <v>2.9964479966918134</v>
      </c>
      <c r="N47" s="2">
        <v>3.8466192504021599</v>
      </c>
      <c r="O47" s="2">
        <v>3.0972345599775735</v>
      </c>
      <c r="Q47" s="2">
        <f t="shared" si="14"/>
        <v>-0.85017125371034652</v>
      </c>
      <c r="R47" s="2">
        <f t="shared" si="15"/>
        <v>-0.10078656328576008</v>
      </c>
      <c r="V47">
        <v>6</v>
      </c>
      <c r="W47" s="2">
        <v>5.79743037069629</v>
      </c>
      <c r="X47" s="2">
        <v>5.6390485307456002</v>
      </c>
      <c r="Y47" s="2">
        <v>6.0585516947551836</v>
      </c>
      <c r="AA47" s="2">
        <f t="shared" si="16"/>
        <v>0.15838183995068977</v>
      </c>
      <c r="AB47" s="2">
        <f t="shared" si="17"/>
        <v>-0.26112132405889366</v>
      </c>
    </row>
    <row r="48" spans="1:28" x14ac:dyDescent="0.25">
      <c r="B48">
        <v>7</v>
      </c>
      <c r="C48" s="2">
        <v>1.92900833633846</v>
      </c>
      <c r="D48" s="2">
        <v>2.0847488221851602</v>
      </c>
      <c r="E48" s="2">
        <v>2.3322190161992666</v>
      </c>
      <c r="G48" s="2">
        <f t="shared" si="12"/>
        <v>-0.15574048584670019</v>
      </c>
      <c r="H48" s="2">
        <f t="shared" si="13"/>
        <v>-0.40321067986080661</v>
      </c>
      <c r="J48" s="2"/>
      <c r="L48">
        <v>7</v>
      </c>
      <c r="M48" s="2">
        <v>3.847300730175983</v>
      </c>
      <c r="N48" s="2">
        <v>4.7223923414685132</v>
      </c>
      <c r="O48" s="2">
        <v>5.1415296222193563</v>
      </c>
      <c r="Q48" s="2">
        <f t="shared" si="14"/>
        <v>-0.87509161129253021</v>
      </c>
      <c r="R48" s="2">
        <f t="shared" si="15"/>
        <v>-1.2942288920433733</v>
      </c>
      <c r="V48">
        <v>7</v>
      </c>
      <c r="W48" s="2">
        <v>8.0600256207755052</v>
      </c>
      <c r="X48" s="2">
        <v>7.0180028939682799</v>
      </c>
      <c r="Y48" s="2">
        <v>6.8784701792637932</v>
      </c>
      <c r="AA48" s="2">
        <f t="shared" si="16"/>
        <v>1.0420227268072253</v>
      </c>
      <c r="AB48" s="2">
        <f t="shared" si="17"/>
        <v>1.181555441511712</v>
      </c>
    </row>
    <row r="49" spans="1:28" x14ac:dyDescent="0.25">
      <c r="B49">
        <v>8</v>
      </c>
      <c r="C49" s="2">
        <v>1.4200739053788167</v>
      </c>
      <c r="D49" s="2">
        <v>1.3424889476483539</v>
      </c>
      <c r="E49" s="2">
        <v>1.4746250819863966</v>
      </c>
      <c r="G49" s="2">
        <f t="shared" si="12"/>
        <v>7.7584957730462811E-2</v>
      </c>
      <c r="H49" s="2">
        <f t="shared" si="13"/>
        <v>-5.455117660757991E-2</v>
      </c>
      <c r="J49" s="2"/>
      <c r="L49">
        <v>8</v>
      </c>
      <c r="M49" s="2">
        <v>3.0496618276253069</v>
      </c>
      <c r="N49" s="2">
        <v>4.1090499389227304</v>
      </c>
      <c r="O49" s="2">
        <v>3.0849943350134867</v>
      </c>
      <c r="Q49" s="2">
        <f t="shared" si="14"/>
        <v>-1.0593881112974235</v>
      </c>
      <c r="R49" s="2">
        <f t="shared" si="15"/>
        <v>-3.5332507388179835E-2</v>
      </c>
      <c r="V49">
        <v>8</v>
      </c>
      <c r="W49" s="2">
        <v>3.6752812796413568</v>
      </c>
      <c r="X49" s="2">
        <v>3.0748681734142402</v>
      </c>
      <c r="Y49" s="2">
        <v>3.8786489736790535</v>
      </c>
      <c r="AA49" s="2">
        <f t="shared" si="16"/>
        <v>0.60041310622711652</v>
      </c>
      <c r="AB49" s="2">
        <f t="shared" si="17"/>
        <v>-0.20336769403769672</v>
      </c>
    </row>
    <row r="50" spans="1:28" x14ac:dyDescent="0.25">
      <c r="B50">
        <v>9</v>
      </c>
      <c r="C50" s="2">
        <v>1.6801353287716367</v>
      </c>
      <c r="D50" s="2">
        <v>1.5138584723315767</v>
      </c>
      <c r="E50" s="2">
        <v>1.6353802696028967</v>
      </c>
      <c r="G50" s="2">
        <f t="shared" si="12"/>
        <v>0.16627685644006007</v>
      </c>
      <c r="H50" s="2">
        <f t="shared" si="13"/>
        <v>4.4755059168740008E-2</v>
      </c>
      <c r="J50" s="2"/>
      <c r="L50">
        <v>9</v>
      </c>
      <c r="M50" s="2">
        <v>4.5147296746202406</v>
      </c>
      <c r="N50" s="2">
        <v>4.4172467924890668</v>
      </c>
      <c r="O50" s="2">
        <v>4.3021909301375532</v>
      </c>
      <c r="Q50" s="2">
        <f t="shared" si="14"/>
        <v>9.7482882131173731E-2</v>
      </c>
      <c r="R50" s="2">
        <f t="shared" si="15"/>
        <v>0.21253874448268739</v>
      </c>
      <c r="V50">
        <v>9</v>
      </c>
      <c r="W50" s="2">
        <v>4.4789289599463835</v>
      </c>
      <c r="X50" s="2">
        <v>6.5866609753898198</v>
      </c>
      <c r="Y50" s="2">
        <v>4.5273100345600197</v>
      </c>
      <c r="AA50" s="2">
        <f t="shared" si="16"/>
        <v>-2.1077320154434362</v>
      </c>
      <c r="AB50" s="2">
        <f t="shared" si="17"/>
        <v>-4.8381074613636166E-2</v>
      </c>
    </row>
    <row r="51" spans="1:28" x14ac:dyDescent="0.25">
      <c r="B51">
        <v>10</v>
      </c>
      <c r="C51" s="2">
        <v>1.6676928433220002</v>
      </c>
      <c r="D51" s="2">
        <v>2.0829418110459303</v>
      </c>
      <c r="E51" s="2">
        <v>2.1760541129994602</v>
      </c>
      <c r="G51" s="2">
        <f t="shared" si="12"/>
        <v>-0.41524896772393016</v>
      </c>
      <c r="H51" s="2">
        <f t="shared" si="13"/>
        <v>-0.50836126967745998</v>
      </c>
      <c r="J51" s="2"/>
      <c r="L51">
        <v>10</v>
      </c>
      <c r="M51" s="2">
        <v>3.6947150170332335</v>
      </c>
      <c r="N51" s="2">
        <v>4.1043164809288601</v>
      </c>
      <c r="O51" s="2">
        <v>3.7126539484169467</v>
      </c>
      <c r="Q51" s="2">
        <f t="shared" si="14"/>
        <v>-0.40960146389562668</v>
      </c>
      <c r="R51" s="2">
        <f t="shared" si="15"/>
        <v>-1.7938931383713275E-2</v>
      </c>
      <c r="V51">
        <v>10</v>
      </c>
      <c r="W51" s="2">
        <v>3.3905165291243438</v>
      </c>
      <c r="X51" s="2">
        <v>4.6209383456267963</v>
      </c>
      <c r="Y51" s="2">
        <v>3.4063493087963503</v>
      </c>
      <c r="AA51" s="2">
        <f t="shared" si="16"/>
        <v>-1.2304218165024525</v>
      </c>
      <c r="AB51" s="2">
        <f t="shared" si="17"/>
        <v>-1.5832779672006581E-2</v>
      </c>
    </row>
    <row r="52" spans="1:28" x14ac:dyDescent="0.25">
      <c r="B52">
        <v>11</v>
      </c>
      <c r="C52" s="2">
        <v>1.7770039538467499</v>
      </c>
      <c r="D52" s="2">
        <v>1.9354810648674234</v>
      </c>
      <c r="E52" s="2">
        <v>1.7421384029763001</v>
      </c>
      <c r="G52" s="2">
        <f t="shared" si="12"/>
        <v>-0.15847711102067352</v>
      </c>
      <c r="H52" s="2">
        <f t="shared" si="13"/>
        <v>3.4865550870449846E-2</v>
      </c>
      <c r="J52" s="2"/>
      <c r="L52">
        <v>11</v>
      </c>
      <c r="M52" s="2">
        <v>2.8704295625218967</v>
      </c>
      <c r="N52" s="2">
        <v>2.6909559664636569</v>
      </c>
      <c r="O52" s="2">
        <v>3.6644848612121366</v>
      </c>
      <c r="Q52" s="2">
        <f t="shared" si="14"/>
        <v>0.17947359605823987</v>
      </c>
      <c r="R52" s="2">
        <f t="shared" si="15"/>
        <v>-0.79405529869023983</v>
      </c>
      <c r="V52">
        <v>11</v>
      </c>
      <c r="W52" s="2">
        <v>4.0803391068798298</v>
      </c>
      <c r="X52" s="2">
        <v>4.3604599770614234</v>
      </c>
      <c r="Y52" s="2">
        <v>3.7787401644336107</v>
      </c>
      <c r="AA52" s="2">
        <f t="shared" si="16"/>
        <v>-0.2801208701815936</v>
      </c>
      <c r="AB52" s="2">
        <f t="shared" si="17"/>
        <v>0.3015989424462191</v>
      </c>
    </row>
    <row r="53" spans="1:28" x14ac:dyDescent="0.25">
      <c r="B53">
        <v>12</v>
      </c>
      <c r="C53" s="2">
        <v>1.6027258448570967</v>
      </c>
      <c r="D53" s="2">
        <v>1.4429094006276699</v>
      </c>
      <c r="E53" s="2">
        <v>1.97360023296995</v>
      </c>
      <c r="G53" s="2">
        <f t="shared" si="12"/>
        <v>0.15981644422942676</v>
      </c>
      <c r="H53" s="2">
        <f t="shared" si="13"/>
        <v>-0.37087438811285334</v>
      </c>
      <c r="J53" s="2"/>
      <c r="L53">
        <v>12</v>
      </c>
      <c r="M53" s="2">
        <v>2.6463542609457265</v>
      </c>
      <c r="N53" s="2">
        <v>2.7802900971728306</v>
      </c>
      <c r="O53" s="2">
        <v>3.5645055916077903</v>
      </c>
      <c r="Q53" s="2">
        <f t="shared" si="14"/>
        <v>-0.13393583622710414</v>
      </c>
      <c r="R53" s="2">
        <f t="shared" si="15"/>
        <v>-0.91815133066206389</v>
      </c>
      <c r="V53">
        <v>12</v>
      </c>
      <c r="W53" s="2">
        <v>2.8458389157681832</v>
      </c>
      <c r="X53" s="2">
        <v>2.6335666826327451</v>
      </c>
      <c r="Y53" s="2">
        <v>6.3468679406143842</v>
      </c>
      <c r="AA53" s="2">
        <f t="shared" si="16"/>
        <v>0.21227223313543808</v>
      </c>
      <c r="AB53" s="2">
        <f t="shared" si="17"/>
        <v>-3.501029024846201</v>
      </c>
    </row>
    <row r="55" spans="1:28" x14ac:dyDescent="0.25">
      <c r="A55" s="2"/>
      <c r="B55" s="2"/>
      <c r="C55" s="2">
        <f>AVERAGE(C42:C53)</f>
        <v>1.7043616916992168</v>
      </c>
      <c r="D55" s="2">
        <f>AVERAGE(D42:D53)</f>
        <v>1.8415524298450252</v>
      </c>
      <c r="E55" s="2">
        <f>AVERAGE(E42:E53)</f>
        <v>1.9862531529063208</v>
      </c>
      <c r="F55" s="2"/>
      <c r="G55" s="2">
        <f>AVERAGE(G42:G53)</f>
        <v>-0.13719073814580837</v>
      </c>
      <c r="H55" s="2">
        <f>AVERAGE(H42:H53)</f>
        <v>-0.28189146120710401</v>
      </c>
      <c r="I55" s="2"/>
      <c r="J55" s="2"/>
      <c r="K55" s="2"/>
      <c r="L55" s="2"/>
      <c r="M55" s="2">
        <f>AVERAGE(M42:M53)</f>
        <v>3.6718812404681409</v>
      </c>
      <c r="N55" s="2">
        <f>AVERAGE(N42:N53)</f>
        <v>4.0932203561208818</v>
      </c>
      <c r="O55" s="2">
        <f>AVERAGE(O42:O53)</f>
        <v>4.1055996540833766</v>
      </c>
      <c r="P55" s="2"/>
      <c r="Q55" s="2">
        <f>AVERAGE(Q42:Q53)</f>
        <v>-0.42133911565274101</v>
      </c>
      <c r="R55" s="2">
        <f>AVERAGE(R42:R53)</f>
        <v>-0.43371841361523494</v>
      </c>
      <c r="S55" s="2"/>
      <c r="T55" s="2"/>
      <c r="U55" s="2"/>
      <c r="V55" s="2"/>
      <c r="W55" s="2">
        <f>AVERAGE(W42:W53)</f>
        <v>4.5998603240305442</v>
      </c>
      <c r="X55" s="2">
        <f>AVERAGE(X42:X53)</f>
        <v>5.1334401610500633</v>
      </c>
      <c r="Y55" s="2">
        <f>AVERAGE(Y42:Y53)</f>
        <v>5.3731045748121353</v>
      </c>
      <c r="Z55" s="2"/>
      <c r="AA55" s="2">
        <f>AVERAGE(AA42:AA53)</f>
        <v>-0.53357983701951806</v>
      </c>
      <c r="AB55" s="2">
        <f>AVERAGE(AB42:AB53)</f>
        <v>-0.77324425078158987</v>
      </c>
    </row>
    <row r="56" spans="1:28" x14ac:dyDescent="0.25">
      <c r="A56" s="2"/>
      <c r="B56" s="2"/>
      <c r="C56" s="2">
        <f>STDEV(C42:C53)</f>
        <v>0.25219698915852418</v>
      </c>
      <c r="D56" s="2">
        <f>STDEV(D42:D53)</f>
        <v>0.51051422515779388</v>
      </c>
      <c r="E56" s="2">
        <f>STDEV(E42:E53)</f>
        <v>0.5343569448046962</v>
      </c>
      <c r="F56" s="2"/>
      <c r="G56" s="2">
        <f>STDEV(G42:G53)</f>
        <v>0.37699895096267938</v>
      </c>
      <c r="H56" s="2">
        <f>STDEV(H42:H53)</f>
        <v>0.34035483369161623</v>
      </c>
      <c r="I56" s="2"/>
      <c r="J56" s="2"/>
      <c r="K56" s="2"/>
      <c r="L56" s="2"/>
      <c r="M56" s="2">
        <f>STDEV(M42:M53)</f>
        <v>0.93295164054800117</v>
      </c>
      <c r="N56" s="2">
        <f>STDEV(N42:N53)</f>
        <v>1.1824368343366563</v>
      </c>
      <c r="O56" s="2">
        <f>STDEV(O42:O53)</f>
        <v>1.2252353308362105</v>
      </c>
      <c r="P56" s="2"/>
      <c r="Q56" s="2">
        <f>STDEV(Q42:Q53)</f>
        <v>0.65386217119925727</v>
      </c>
      <c r="R56" s="2">
        <f>STDEV(R42:R53)</f>
        <v>0.76554780342384499</v>
      </c>
      <c r="S56" s="2"/>
      <c r="T56" s="2"/>
      <c r="U56" s="2"/>
      <c r="V56" s="2"/>
      <c r="W56" s="2">
        <f>STDEV(W42:W53)</f>
        <v>1.835876993098571</v>
      </c>
      <c r="X56" s="2">
        <f>STDEV(X42:X53)</f>
        <v>1.5556270873471085</v>
      </c>
      <c r="Y56" s="2">
        <f>STDEV(Y42:Y53)</f>
        <v>1.6481194459851114</v>
      </c>
      <c r="Z56" s="2"/>
      <c r="AA56" s="2">
        <f>STDEV(AA42:AA53)</f>
        <v>1.1604863709392044</v>
      </c>
      <c r="AB56" s="2">
        <f>STDEV(AB42:AB53)</f>
        <v>1.3513464845930387</v>
      </c>
    </row>
    <row r="60" spans="1:28" x14ac:dyDescent="0.25">
      <c r="A60" t="s">
        <v>18</v>
      </c>
      <c r="G60" t="s">
        <v>14</v>
      </c>
      <c r="H60" t="s">
        <v>15</v>
      </c>
      <c r="K60" t="s">
        <v>18</v>
      </c>
      <c r="Q60" t="s">
        <v>14</v>
      </c>
      <c r="R60" t="s">
        <v>15</v>
      </c>
      <c r="U60" t="s">
        <v>18</v>
      </c>
      <c r="AA60" t="s">
        <v>14</v>
      </c>
      <c r="AB60" t="s">
        <v>15</v>
      </c>
    </row>
    <row r="61" spans="1:28" x14ac:dyDescent="0.25">
      <c r="A61" s="1">
        <v>0.25</v>
      </c>
      <c r="B61" t="s">
        <v>1</v>
      </c>
      <c r="C61" t="s">
        <v>10</v>
      </c>
      <c r="D61" t="s">
        <v>11</v>
      </c>
      <c r="E61" t="s">
        <v>12</v>
      </c>
      <c r="G61" t="s">
        <v>13</v>
      </c>
      <c r="H61" t="s">
        <v>13</v>
      </c>
      <c r="J61" s="1"/>
      <c r="K61" s="1">
        <v>0.5</v>
      </c>
      <c r="L61" t="s">
        <v>1</v>
      </c>
      <c r="M61" t="s">
        <v>10</v>
      </c>
      <c r="N61" t="s">
        <v>11</v>
      </c>
      <c r="O61" t="s">
        <v>12</v>
      </c>
      <c r="Q61" t="s">
        <v>13</v>
      </c>
      <c r="R61" t="s">
        <v>13</v>
      </c>
      <c r="U61" s="1">
        <v>0.75</v>
      </c>
      <c r="V61" t="s">
        <v>1</v>
      </c>
      <c r="W61" t="s">
        <v>10</v>
      </c>
      <c r="X61" t="s">
        <v>11</v>
      </c>
      <c r="Y61" t="s">
        <v>12</v>
      </c>
      <c r="AA61" t="s">
        <v>13</v>
      </c>
      <c r="AB61" t="s">
        <v>13</v>
      </c>
    </row>
    <row r="62" spans="1:28" x14ac:dyDescent="0.25">
      <c r="B62">
        <v>1</v>
      </c>
      <c r="C62" s="2">
        <v>1.6165053571971366</v>
      </c>
      <c r="D62" s="2">
        <v>1.4018119422454998</v>
      </c>
      <c r="E62" s="2">
        <v>2.0302547409725</v>
      </c>
      <c r="G62" s="2">
        <f>C62-D62</f>
        <v>0.21469341495163685</v>
      </c>
      <c r="H62" s="2">
        <f>C62-E62</f>
        <v>-0.41374938377536341</v>
      </c>
      <c r="J62" s="2"/>
      <c r="L62">
        <v>1</v>
      </c>
      <c r="M62" s="2">
        <v>2.2093674507520098</v>
      </c>
      <c r="N62" s="2">
        <v>2.3933465396731832</v>
      </c>
      <c r="O62" s="2">
        <v>2.6661177472708966</v>
      </c>
      <c r="Q62" s="2">
        <f>M62-N62</f>
        <v>-0.18397908892117343</v>
      </c>
      <c r="R62" s="2">
        <f>M62-O62</f>
        <v>-0.45675029651888677</v>
      </c>
      <c r="V62">
        <v>1</v>
      </c>
      <c r="W62" s="2">
        <v>3.0534102314371268</v>
      </c>
      <c r="X62" s="2">
        <v>2.9176761023990334</v>
      </c>
      <c r="Y62" s="2">
        <v>5.0793193254680498</v>
      </c>
      <c r="AA62" s="2">
        <f>W62-X62</f>
        <v>0.13573412903809334</v>
      </c>
      <c r="AB62" s="2">
        <f>W62-Y62</f>
        <v>-2.025909094030923</v>
      </c>
    </row>
    <row r="63" spans="1:28" x14ac:dyDescent="0.25">
      <c r="B63">
        <v>2</v>
      </c>
      <c r="C63" s="2">
        <v>1.5071741274466068</v>
      </c>
      <c r="D63" s="2">
        <v>1.6312485122193332</v>
      </c>
      <c r="E63" s="2">
        <v>1.6323490411355133</v>
      </c>
      <c r="G63" s="2">
        <f t="shared" ref="G63:G73" si="18">C63-D63</f>
        <v>-0.12407438477272636</v>
      </c>
      <c r="H63" s="2">
        <f t="shared" ref="H63:H73" si="19">C63-E63</f>
        <v>-0.12517491368890643</v>
      </c>
      <c r="J63" s="2"/>
      <c r="L63">
        <v>2</v>
      </c>
      <c r="M63" s="2">
        <v>3.4549640740708667</v>
      </c>
      <c r="N63" s="2">
        <v>3.1271567737202766</v>
      </c>
      <c r="O63" s="2">
        <v>2.6163912355363634</v>
      </c>
      <c r="Q63" s="2">
        <f t="shared" ref="Q63:Q73" si="20">M63-N63</f>
        <v>0.32780730035059014</v>
      </c>
      <c r="R63" s="2">
        <f t="shared" ref="R63:R73" si="21">M63-O63</f>
        <v>0.83857283853450326</v>
      </c>
      <c r="V63">
        <v>2</v>
      </c>
      <c r="W63" s="2">
        <v>3.2216611454560602</v>
      </c>
      <c r="X63" s="2">
        <v>3.2739431205764937</v>
      </c>
      <c r="Y63" s="2">
        <v>3.4733509753946734</v>
      </c>
      <c r="AA63" s="2">
        <f t="shared" ref="AA63:AA73" si="22">W63-X63</f>
        <v>-5.2281975120433533E-2</v>
      </c>
      <c r="AB63" s="2">
        <f t="shared" ref="AB63:AB73" si="23">W63-Y63</f>
        <v>-0.25168982993861322</v>
      </c>
    </row>
    <row r="64" spans="1:28" x14ac:dyDescent="0.25">
      <c r="B64">
        <v>3</v>
      </c>
      <c r="C64" s="2">
        <v>2.2899745054208633</v>
      </c>
      <c r="D64" s="2">
        <v>2.5403038874847099</v>
      </c>
      <c r="E64" s="2">
        <v>2.2503088116170766</v>
      </c>
      <c r="G64" s="2">
        <f t="shared" si="18"/>
        <v>-0.25032938206384658</v>
      </c>
      <c r="H64" s="2">
        <f t="shared" si="19"/>
        <v>3.9665693803786706E-2</v>
      </c>
      <c r="J64" s="2"/>
      <c r="L64">
        <v>3</v>
      </c>
      <c r="M64" s="2">
        <v>3.7828801117156599</v>
      </c>
      <c r="N64" s="2">
        <v>4.3827175246012295</v>
      </c>
      <c r="O64" s="2">
        <v>4.15337823392123</v>
      </c>
      <c r="Q64" s="2">
        <f t="shared" si="20"/>
        <v>-0.59983741288556969</v>
      </c>
      <c r="R64" s="2">
        <f t="shared" si="21"/>
        <v>-0.3704981222055701</v>
      </c>
      <c r="V64">
        <v>3</v>
      </c>
      <c r="W64" s="2">
        <v>5.9338170576730445</v>
      </c>
      <c r="X64" s="2">
        <v>5.3211124792488498</v>
      </c>
      <c r="Y64" s="2">
        <v>6.3192225373297264</v>
      </c>
      <c r="AA64" s="2">
        <f t="shared" si="22"/>
        <v>0.61270457842419468</v>
      </c>
      <c r="AB64" s="2">
        <f t="shared" si="23"/>
        <v>-0.38540547965668193</v>
      </c>
    </row>
    <row r="65" spans="1:28" x14ac:dyDescent="0.25">
      <c r="B65">
        <v>4</v>
      </c>
      <c r="C65" s="2">
        <v>3.1279728292153699</v>
      </c>
      <c r="D65" s="2">
        <v>2.6220280750018867</v>
      </c>
      <c r="E65">
        <v>2.83</v>
      </c>
      <c r="G65" s="2">
        <f t="shared" si="18"/>
        <v>0.50594475421348317</v>
      </c>
      <c r="H65" s="2">
        <f t="shared" si="19"/>
        <v>0.29797282921536983</v>
      </c>
      <c r="J65" s="2"/>
      <c r="L65">
        <v>4</v>
      </c>
      <c r="M65" s="2">
        <v>5.9233401861863628</v>
      </c>
      <c r="N65" s="2">
        <v>5.774265982433417</v>
      </c>
      <c r="O65" s="2">
        <v>6.1604189236905071</v>
      </c>
      <c r="Q65" s="2">
        <f t="shared" si="20"/>
        <v>0.14907420375294578</v>
      </c>
      <c r="R65" s="2">
        <f t="shared" si="21"/>
        <v>-0.23707873750414432</v>
      </c>
      <c r="V65">
        <v>4</v>
      </c>
      <c r="W65" s="2">
        <v>5.8958353815333835</v>
      </c>
      <c r="X65" s="2">
        <v>7.5313151495867565</v>
      </c>
      <c r="Y65" s="2">
        <v>6.4595744092515366</v>
      </c>
      <c r="AA65" s="2">
        <f t="shared" si="22"/>
        <v>-1.635479768053373</v>
      </c>
      <c r="AB65" s="2">
        <f t="shared" si="23"/>
        <v>-0.5637390277181531</v>
      </c>
    </row>
    <row r="66" spans="1:28" x14ac:dyDescent="0.25">
      <c r="B66">
        <v>5</v>
      </c>
      <c r="C66" s="2">
        <v>2.3118683439052266</v>
      </c>
      <c r="D66" s="2">
        <v>3.0270672282968767</v>
      </c>
      <c r="E66" s="2">
        <v>2.7273359415829699</v>
      </c>
      <c r="G66" s="2">
        <f t="shared" si="18"/>
        <v>-0.71519888439165014</v>
      </c>
      <c r="H66" s="2">
        <f t="shared" si="19"/>
        <v>-0.41546759767774333</v>
      </c>
      <c r="J66" s="2"/>
      <c r="L66">
        <v>5</v>
      </c>
      <c r="M66" s="2">
        <v>4.1156889365906038</v>
      </c>
      <c r="N66" s="2">
        <v>5.0248395513516178</v>
      </c>
      <c r="O66" s="2">
        <v>4.8981613443150227</v>
      </c>
      <c r="Q66" s="2">
        <f t="shared" si="20"/>
        <v>-0.909150614761014</v>
      </c>
      <c r="R66" s="2">
        <f t="shared" si="21"/>
        <v>-0.78247240772441895</v>
      </c>
      <c r="V66">
        <v>5</v>
      </c>
      <c r="W66" s="2">
        <v>5.3968042658801538</v>
      </c>
      <c r="X66" s="2">
        <v>5.3081264470175604</v>
      </c>
      <c r="Y66" s="2">
        <v>5.7086247738002598</v>
      </c>
      <c r="AA66" s="2">
        <f t="shared" si="22"/>
        <v>8.8677818862593405E-2</v>
      </c>
      <c r="AB66" s="2">
        <f t="shared" si="23"/>
        <v>-0.31182050792010596</v>
      </c>
    </row>
    <row r="67" spans="1:28" x14ac:dyDescent="0.25">
      <c r="B67">
        <v>6</v>
      </c>
      <c r="C67" s="2">
        <v>1.8699945137267366</v>
      </c>
      <c r="D67" s="2">
        <v>1.6984549043227199</v>
      </c>
      <c r="E67" s="2">
        <v>1.7117957315917665</v>
      </c>
      <c r="G67" s="2">
        <f t="shared" si="18"/>
        <v>0.17153960940401669</v>
      </c>
      <c r="H67" s="2">
        <f t="shared" si="19"/>
        <v>0.15819878213497018</v>
      </c>
      <c r="J67" s="2"/>
      <c r="L67">
        <v>6</v>
      </c>
      <c r="M67" s="2">
        <v>3.6319090670927103</v>
      </c>
      <c r="N67" s="2">
        <v>4.37461388842567</v>
      </c>
      <c r="O67" s="2">
        <v>3.4994070936646735</v>
      </c>
      <c r="Q67" s="2">
        <f t="shared" si="20"/>
        <v>-0.74270482133295967</v>
      </c>
      <c r="R67" s="2">
        <f t="shared" si="21"/>
        <v>0.13250197342803682</v>
      </c>
      <c r="V67">
        <v>6</v>
      </c>
      <c r="W67" s="2">
        <v>5.4060492276397607</v>
      </c>
      <c r="X67" s="2">
        <v>7.0242277687749164</v>
      </c>
      <c r="Y67" s="2">
        <v>5.6939878618562751</v>
      </c>
      <c r="AA67" s="2">
        <f t="shared" si="22"/>
        <v>-1.6181785411351557</v>
      </c>
      <c r="AB67" s="2">
        <f t="shared" si="23"/>
        <v>-0.28793863421651444</v>
      </c>
    </row>
    <row r="68" spans="1:28" x14ac:dyDescent="0.25">
      <c r="B68">
        <v>7</v>
      </c>
      <c r="C68" s="2">
        <v>2.3123280739840664</v>
      </c>
      <c r="D68" s="2">
        <v>1.7765169563628467</v>
      </c>
      <c r="E68" s="2">
        <v>2.8088098784060902</v>
      </c>
      <c r="G68" s="2">
        <f t="shared" si="18"/>
        <v>0.53581111762121969</v>
      </c>
      <c r="H68" s="2">
        <f t="shared" si="19"/>
        <v>-0.49648180442202383</v>
      </c>
      <c r="J68" s="2"/>
      <c r="L68">
        <v>7</v>
      </c>
      <c r="M68" s="2">
        <v>4.25748734908594</v>
      </c>
      <c r="N68" s="2">
        <v>4.6992034937592297</v>
      </c>
      <c r="O68" s="2">
        <v>4.4684209017878098</v>
      </c>
      <c r="Q68" s="2">
        <f t="shared" si="20"/>
        <v>-0.44171614467328979</v>
      </c>
      <c r="R68" s="2">
        <f t="shared" si="21"/>
        <v>-0.21093355270186986</v>
      </c>
      <c r="V68">
        <v>7</v>
      </c>
      <c r="W68" s="2">
        <v>7.1674906212248297</v>
      </c>
      <c r="X68" s="2">
        <v>10.023607832842295</v>
      </c>
      <c r="Y68" s="2">
        <v>5.9659792502669502</v>
      </c>
      <c r="AA68" s="2">
        <f t="shared" si="22"/>
        <v>-2.8561172116174651</v>
      </c>
      <c r="AB68" s="2">
        <f t="shared" si="23"/>
        <v>1.2015113709578795</v>
      </c>
    </row>
    <row r="69" spans="1:28" x14ac:dyDescent="0.25">
      <c r="B69">
        <v>8</v>
      </c>
      <c r="C69" s="2">
        <v>1.2571653343958999</v>
      </c>
      <c r="D69" s="2">
        <v>1.0634890817932261</v>
      </c>
      <c r="E69" s="2">
        <v>1.2361648375739893</v>
      </c>
      <c r="G69" s="2">
        <f t="shared" si="18"/>
        <v>0.19367625260267385</v>
      </c>
      <c r="H69" s="2">
        <f t="shared" si="19"/>
        <v>2.100049682191063E-2</v>
      </c>
      <c r="J69" s="2"/>
      <c r="L69">
        <v>8</v>
      </c>
      <c r="M69" s="2">
        <v>3.4635525234258733</v>
      </c>
      <c r="N69" s="2">
        <v>3.5440024030511235</v>
      </c>
      <c r="O69" s="2">
        <v>3.8720186435372832</v>
      </c>
      <c r="Q69" s="2">
        <f t="shared" si="20"/>
        <v>-8.0449879625250187E-2</v>
      </c>
      <c r="R69" s="2">
        <f t="shared" si="21"/>
        <v>-0.40846612011140992</v>
      </c>
      <c r="V69">
        <v>8</v>
      </c>
      <c r="W69" s="2">
        <v>3.900960013686587</v>
      </c>
      <c r="X69" s="2">
        <v>5.4043451336902395</v>
      </c>
      <c r="Y69" s="2">
        <v>4.0091195918699603</v>
      </c>
      <c r="AA69" s="2">
        <f t="shared" si="22"/>
        <v>-1.5033851200036525</v>
      </c>
      <c r="AB69" s="2">
        <f t="shared" si="23"/>
        <v>-0.10815957818337329</v>
      </c>
    </row>
    <row r="70" spans="1:28" x14ac:dyDescent="0.25">
      <c r="B70">
        <v>9</v>
      </c>
      <c r="C70" s="2">
        <v>2.1700167928286462</v>
      </c>
      <c r="D70" s="2">
        <v>2.6660593520735332</v>
      </c>
      <c r="E70" s="2">
        <v>2.3851134728481567</v>
      </c>
      <c r="G70" s="2">
        <f t="shared" si="18"/>
        <v>-0.49604255924488694</v>
      </c>
      <c r="H70" s="2">
        <f t="shared" si="19"/>
        <v>-0.21509668001951043</v>
      </c>
      <c r="J70" s="2"/>
      <c r="L70">
        <v>9</v>
      </c>
      <c r="M70" s="2">
        <v>3.5702513996613603</v>
      </c>
      <c r="N70" s="2">
        <v>5.0616277159718033</v>
      </c>
      <c r="O70" s="2">
        <v>4.4514452504453468</v>
      </c>
      <c r="Q70" s="2">
        <f t="shared" si="20"/>
        <v>-1.491376316310443</v>
      </c>
      <c r="R70" s="2">
        <f t="shared" si="21"/>
        <v>-0.88119385078398649</v>
      </c>
      <c r="V70">
        <v>9</v>
      </c>
      <c r="W70" s="2">
        <v>4.58874135043179</v>
      </c>
      <c r="X70" s="2">
        <v>4.7640402160859603</v>
      </c>
      <c r="Y70" s="2">
        <v>5.4543354444227736</v>
      </c>
      <c r="AA70" s="2">
        <f t="shared" si="22"/>
        <v>-0.1752988656541703</v>
      </c>
      <c r="AB70" s="2">
        <f t="shared" si="23"/>
        <v>-0.86559409399098364</v>
      </c>
    </row>
    <row r="71" spans="1:28" x14ac:dyDescent="0.25">
      <c r="B71">
        <v>10</v>
      </c>
      <c r="C71" s="2">
        <v>2.1246691562807531</v>
      </c>
      <c r="D71" s="2">
        <v>2.5330363772944531</v>
      </c>
      <c r="E71" s="2">
        <v>2.081739662683403</v>
      </c>
      <c r="G71" s="2">
        <f t="shared" si="18"/>
        <v>-0.40836722101369993</v>
      </c>
      <c r="H71" s="2">
        <f t="shared" si="19"/>
        <v>4.2929493597350099E-2</v>
      </c>
      <c r="J71" s="2"/>
      <c r="L71">
        <v>10</v>
      </c>
      <c r="M71" s="2">
        <v>4.5852618182979503</v>
      </c>
      <c r="N71" s="2">
        <v>5.7410978541071893</v>
      </c>
      <c r="O71" s="2">
        <v>5.1707029760005003</v>
      </c>
      <c r="Q71" s="2">
        <f t="shared" si="20"/>
        <v>-1.155836035809239</v>
      </c>
      <c r="R71" s="2">
        <f t="shared" si="21"/>
        <v>-0.58544115770255001</v>
      </c>
      <c r="V71">
        <v>10</v>
      </c>
      <c r="W71" s="2">
        <v>4.3031226145169699</v>
      </c>
      <c r="X71" s="2">
        <v>4.8507524343844741</v>
      </c>
      <c r="Y71" s="2">
        <v>4.1047763302838298</v>
      </c>
      <c r="AA71" s="2">
        <f t="shared" si="22"/>
        <v>-0.54762981986750425</v>
      </c>
      <c r="AB71" s="2">
        <f t="shared" si="23"/>
        <v>0.19834628423314005</v>
      </c>
    </row>
    <row r="72" spans="1:28" x14ac:dyDescent="0.25">
      <c r="B72">
        <v>11</v>
      </c>
      <c r="C72" s="2">
        <v>1.7683876331562567</v>
      </c>
      <c r="D72" s="2">
        <v>1.6666310412731065</v>
      </c>
      <c r="E72" s="2">
        <v>1.9052783148169399</v>
      </c>
      <c r="G72" s="2">
        <f t="shared" si="18"/>
        <v>0.10175659188315023</v>
      </c>
      <c r="H72" s="2">
        <f t="shared" si="19"/>
        <v>-0.13689068166068319</v>
      </c>
      <c r="J72" s="2"/>
      <c r="L72">
        <v>11</v>
      </c>
      <c r="M72" s="2">
        <v>2.6990207236508432</v>
      </c>
      <c r="N72" s="2">
        <v>3.9689490555344134</v>
      </c>
      <c r="O72" s="2">
        <v>3.1475943425147133</v>
      </c>
      <c r="Q72" s="2">
        <f t="shared" si="20"/>
        <v>-1.2699283318835701</v>
      </c>
      <c r="R72" s="2">
        <f t="shared" si="21"/>
        <v>-0.44857361886387004</v>
      </c>
      <c r="V72">
        <v>11</v>
      </c>
      <c r="W72" s="2">
        <v>3.2272804454725197</v>
      </c>
      <c r="X72" s="2">
        <v>2.72508630147742</v>
      </c>
      <c r="Y72" s="2">
        <v>3.9812493460638567</v>
      </c>
      <c r="AA72" s="2">
        <f t="shared" si="22"/>
        <v>0.50219414399509965</v>
      </c>
      <c r="AB72" s="2">
        <f t="shared" si="23"/>
        <v>-0.75396890059133703</v>
      </c>
    </row>
    <row r="73" spans="1:28" x14ac:dyDescent="0.25">
      <c r="B73">
        <v>12</v>
      </c>
      <c r="C73" s="2">
        <v>1.3628350579450965</v>
      </c>
      <c r="D73" s="2">
        <v>1.6317562919783934</v>
      </c>
      <c r="E73" s="2">
        <v>1.51640331815703</v>
      </c>
      <c r="G73" s="2">
        <f t="shared" si="18"/>
        <v>-0.26892123403329693</v>
      </c>
      <c r="H73" s="2">
        <f t="shared" si="19"/>
        <v>-0.15356826021193348</v>
      </c>
      <c r="J73" s="2"/>
      <c r="L73">
        <v>12</v>
      </c>
      <c r="M73" s="2">
        <v>2.48945933979663</v>
      </c>
      <c r="N73" s="2">
        <v>2.7466890093903698</v>
      </c>
      <c r="O73" s="2">
        <v>2.8485369696410436</v>
      </c>
      <c r="Q73" s="2">
        <f t="shared" si="20"/>
        <v>-0.25722966959373972</v>
      </c>
      <c r="R73" s="2">
        <f t="shared" si="21"/>
        <v>-0.3590776298444136</v>
      </c>
      <c r="V73">
        <v>12</v>
      </c>
      <c r="W73" s="2">
        <v>2.8952758601773234</v>
      </c>
      <c r="X73" s="2">
        <v>3.5430328103746063</v>
      </c>
      <c r="Y73" s="2">
        <v>2.9800172265040437</v>
      </c>
      <c r="AA73" s="2">
        <f t="shared" si="22"/>
        <v>-0.64775695019728285</v>
      </c>
      <c r="AB73" s="2">
        <f t="shared" si="23"/>
        <v>-8.4741366326720247E-2</v>
      </c>
    </row>
    <row r="75" spans="1:28" x14ac:dyDescent="0.25">
      <c r="A75" s="2"/>
      <c r="B75" s="2"/>
      <c r="C75" s="2">
        <f>AVERAGE(C62:C73)</f>
        <v>1.9765743104585549</v>
      </c>
      <c r="D75" s="2">
        <f>AVERAGE(D62:D73)</f>
        <v>2.0215336375288819</v>
      </c>
      <c r="E75" s="2">
        <f>AVERAGE(E62:E73)</f>
        <v>2.0929628126154527</v>
      </c>
      <c r="F75" s="2"/>
      <c r="G75" s="2">
        <f>AVERAGE(G62:G73)</f>
        <v>-4.4959327070327203E-2</v>
      </c>
      <c r="H75" s="2">
        <f>AVERAGE(H62:H73)</f>
        <v>-0.11638850215689805</v>
      </c>
      <c r="I75" s="2"/>
      <c r="J75" s="2"/>
      <c r="K75" s="2"/>
      <c r="L75" s="2"/>
      <c r="M75" s="2">
        <f>AVERAGE(M62:M73)</f>
        <v>3.6819319150272345</v>
      </c>
      <c r="N75" s="2">
        <f>AVERAGE(N62:N73)</f>
        <v>4.2365424826682938</v>
      </c>
      <c r="O75" s="2">
        <f>AVERAGE(O62:O73)</f>
        <v>3.9960494718604487</v>
      </c>
      <c r="P75" s="2"/>
      <c r="Q75" s="2">
        <f>AVERAGE(Q62:Q73)</f>
        <v>-0.55461056764105932</v>
      </c>
      <c r="R75" s="2">
        <f>AVERAGE(R62:R73)</f>
        <v>-0.31411755683321502</v>
      </c>
      <c r="S75" s="2"/>
      <c r="T75" s="2"/>
      <c r="U75" s="2"/>
      <c r="V75" s="2"/>
      <c r="W75" s="2">
        <f>AVERAGE(W62:W73)</f>
        <v>4.5825373512607959</v>
      </c>
      <c r="X75" s="2">
        <f>AVERAGE(X62:X73)</f>
        <v>5.2239388163715503</v>
      </c>
      <c r="Y75" s="2">
        <f>AVERAGE(Y62:Y73)</f>
        <v>4.9357964227093278</v>
      </c>
      <c r="Z75" s="2"/>
      <c r="AA75" s="2">
        <f>AVERAGE(AA62:AA73)</f>
        <v>-0.64140146511075469</v>
      </c>
      <c r="AB75" s="2">
        <f>AVERAGE(AB62:AB73)</f>
        <v>-0.35325907144853219</v>
      </c>
    </row>
    <row r="76" spans="1:28" x14ac:dyDescent="0.25">
      <c r="A76" s="2"/>
      <c r="B76" s="2"/>
      <c r="C76" s="2">
        <f>STDEV(C62:C73)</f>
        <v>0.52287276921360781</v>
      </c>
      <c r="D76" s="2">
        <f>STDEV(D62:D73)</f>
        <v>0.61897161754475905</v>
      </c>
      <c r="E76" s="2">
        <f>STDEV(E62:E73)</f>
        <v>0.52496412158762396</v>
      </c>
      <c r="F76" s="2"/>
      <c r="G76" s="2">
        <f>STDEV(G62:G73)</f>
        <v>0.39507316749710242</v>
      </c>
      <c r="H76" s="2">
        <f>STDEV(H62:H73)</f>
        <v>0.24302455158783604</v>
      </c>
      <c r="I76" s="2"/>
      <c r="J76" s="2"/>
      <c r="K76" s="2"/>
      <c r="L76" s="2"/>
      <c r="M76" s="2">
        <f>STDEV(M62:M73)</f>
        <v>1.001827686081656</v>
      </c>
      <c r="N76" s="2">
        <f>STDEV(N62:N73)</f>
        <v>1.1112619246429525</v>
      </c>
      <c r="O76" s="2">
        <f>STDEV(O62:O73)</f>
        <v>1.0997626942435166</v>
      </c>
      <c r="P76" s="2"/>
      <c r="Q76" s="2">
        <f>STDEV(Q62:Q73)</f>
        <v>0.57611672962490845</v>
      </c>
      <c r="R76" s="2">
        <f>STDEV(R62:R73)</f>
        <v>0.44841323427833218</v>
      </c>
      <c r="S76" s="2"/>
      <c r="T76" s="2"/>
      <c r="U76" s="2"/>
      <c r="V76" s="2"/>
      <c r="W76" s="2">
        <f>STDEV(W62:W73)</f>
        <v>1.3813807175778212</v>
      </c>
      <c r="X76" s="2">
        <f>STDEV(X62:X73)</f>
        <v>2.1361124385210877</v>
      </c>
      <c r="Y76" s="2">
        <f>STDEV(Y62:Y73)</f>
        <v>1.1748480249656681</v>
      </c>
      <c r="Z76" s="2"/>
      <c r="AA76" s="2">
        <f>STDEV(AA62:AA73)</f>
        <v>1.0523118309997059</v>
      </c>
      <c r="AB76" s="2">
        <f>STDEV(AB62:AB73)</f>
        <v>0.74688469266684276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863F-8CE9-4E55-9CE9-C77EA8F0DE08}">
  <dimension ref="A1:AL76"/>
  <sheetViews>
    <sheetView workbookViewId="0"/>
  </sheetViews>
  <sheetFormatPr defaultRowHeight="15" x14ac:dyDescent="0.25"/>
  <sheetData>
    <row r="1" spans="1:38" x14ac:dyDescent="0.25">
      <c r="A1" t="s">
        <v>0</v>
      </c>
      <c r="G1" t="s">
        <v>14</v>
      </c>
      <c r="H1" t="s">
        <v>15</v>
      </c>
      <c r="K1" t="s">
        <v>0</v>
      </c>
      <c r="Q1" t="s">
        <v>14</v>
      </c>
      <c r="R1" t="s">
        <v>15</v>
      </c>
      <c r="U1" t="s">
        <v>0</v>
      </c>
      <c r="AA1" t="s">
        <v>14</v>
      </c>
      <c r="AB1" t="s">
        <v>15</v>
      </c>
    </row>
    <row r="2" spans="1:38" x14ac:dyDescent="0.25">
      <c r="A2" s="1">
        <v>0.25</v>
      </c>
      <c r="B2" t="s">
        <v>1</v>
      </c>
      <c r="C2" t="s">
        <v>26</v>
      </c>
      <c r="D2" t="s">
        <v>27</v>
      </c>
      <c r="E2" t="s">
        <v>28</v>
      </c>
      <c r="G2" t="s">
        <v>13</v>
      </c>
      <c r="H2" t="s">
        <v>13</v>
      </c>
      <c r="J2" s="1"/>
      <c r="K2" s="1">
        <v>0.5</v>
      </c>
      <c r="L2" t="s">
        <v>1</v>
      </c>
      <c r="M2" t="s">
        <v>26</v>
      </c>
      <c r="N2" t="s">
        <v>27</v>
      </c>
      <c r="O2" t="s">
        <v>28</v>
      </c>
      <c r="Q2" t="s">
        <v>13</v>
      </c>
      <c r="R2" t="s">
        <v>13</v>
      </c>
      <c r="U2" s="1">
        <v>0.75</v>
      </c>
      <c r="V2" t="s">
        <v>1</v>
      </c>
      <c r="W2" t="s">
        <v>26</v>
      </c>
      <c r="X2" t="s">
        <v>27</v>
      </c>
      <c r="Y2" t="s">
        <v>28</v>
      </c>
      <c r="AA2" t="s">
        <v>13</v>
      </c>
      <c r="AB2" t="s">
        <v>13</v>
      </c>
      <c r="AE2" s="1"/>
    </row>
    <row r="3" spans="1:38" x14ac:dyDescent="0.25">
      <c r="B3">
        <v>1</v>
      </c>
      <c r="C3" s="2">
        <v>1.7650581465337631</v>
      </c>
      <c r="D3" s="2">
        <v>2.1898164121070165</v>
      </c>
      <c r="E3" s="2">
        <v>2.0741170984684332</v>
      </c>
      <c r="G3" s="2">
        <f>C3-D3</f>
        <v>-0.42475826557325336</v>
      </c>
      <c r="H3" s="2">
        <f>C3-E3</f>
        <v>-0.30905895193467003</v>
      </c>
      <c r="J3" s="2"/>
      <c r="L3">
        <v>1</v>
      </c>
      <c r="M3" s="2">
        <v>1.6695253379228403</v>
      </c>
      <c r="N3" s="2">
        <v>1.8505851082029332</v>
      </c>
      <c r="O3" s="2">
        <v>1.9659622540950334</v>
      </c>
      <c r="Q3" s="2">
        <f>M3-N3</f>
        <v>-0.1810597702800929</v>
      </c>
      <c r="R3" s="2">
        <f>M3-O3</f>
        <v>-0.29643691617219314</v>
      </c>
      <c r="V3">
        <v>1</v>
      </c>
      <c r="W3" s="2">
        <v>1.3191672739671432</v>
      </c>
      <c r="X3" s="2">
        <v>2.0802867956235866</v>
      </c>
      <c r="Y3" s="2">
        <v>1.5390738421626149</v>
      </c>
      <c r="AA3" s="2">
        <f>W3-X3</f>
        <v>-0.76111952165644348</v>
      </c>
      <c r="AB3" s="2">
        <f>W3-Y3</f>
        <v>-0.21990656819547172</v>
      </c>
      <c r="AK3" s="2"/>
      <c r="AL3" s="2"/>
    </row>
    <row r="4" spans="1:38" x14ac:dyDescent="0.25">
      <c r="B4">
        <v>2</v>
      </c>
      <c r="C4" s="2">
        <v>1.8999115432730269</v>
      </c>
      <c r="D4" s="2">
        <v>2.0519368352902467</v>
      </c>
      <c r="E4" s="2">
        <v>2.2905692148632402</v>
      </c>
      <c r="G4" s="2">
        <f t="shared" ref="G4:G14" si="0">C4-D4</f>
        <v>-0.15202529201721982</v>
      </c>
      <c r="H4" s="2">
        <f t="shared" ref="H4:H14" si="1">C4-E4</f>
        <v>-0.39065767159021325</v>
      </c>
      <c r="J4" s="2"/>
      <c r="L4">
        <v>2</v>
      </c>
      <c r="M4" s="2">
        <v>1.7623430562966069</v>
      </c>
      <c r="N4" s="2">
        <v>1.6897572430619967</v>
      </c>
      <c r="O4" s="2">
        <v>1.5004317958486466</v>
      </c>
      <c r="Q4" s="2">
        <f t="shared" ref="Q4:Q14" si="2">M4-N4</f>
        <v>7.2585813234610219E-2</v>
      </c>
      <c r="R4" s="2">
        <f t="shared" ref="R4:R14" si="3">M4-O4</f>
        <v>0.26191126044796031</v>
      </c>
      <c r="V4">
        <v>2</v>
      </c>
      <c r="W4" s="2">
        <v>1.3824473019149734</v>
      </c>
      <c r="X4" s="2">
        <v>1.4475596218770432</v>
      </c>
      <c r="Y4" s="2">
        <v>1.3562860473496965</v>
      </c>
      <c r="AA4" s="2">
        <f t="shared" ref="AA4:AA14" si="4">W4-X4</f>
        <v>-6.5112319962069787E-2</v>
      </c>
      <c r="AB4" s="2">
        <f t="shared" ref="AB4:AB14" si="5">W4-Y4</f>
        <v>2.6161254565276959E-2</v>
      </c>
      <c r="AK4" s="2"/>
      <c r="AL4" s="2"/>
    </row>
    <row r="5" spans="1:38" x14ac:dyDescent="0.25">
      <c r="B5">
        <v>3</v>
      </c>
      <c r="C5" s="2">
        <v>2.9699414346209601</v>
      </c>
      <c r="D5" s="2">
        <v>3.61053245193773</v>
      </c>
      <c r="E5" s="2">
        <v>2.8187459251445404</v>
      </c>
      <c r="G5" s="2">
        <f t="shared" si="0"/>
        <v>-0.64059101731676993</v>
      </c>
      <c r="H5" s="2">
        <f t="shared" si="1"/>
        <v>0.15119550947641969</v>
      </c>
      <c r="J5" s="2"/>
      <c r="L5">
        <v>3</v>
      </c>
      <c r="M5" s="2">
        <v>3.6851953132069135</v>
      </c>
      <c r="N5" s="2">
        <v>2.856089276284755</v>
      </c>
      <c r="O5" s="2">
        <v>2.1844359108137033</v>
      </c>
      <c r="Q5" s="2">
        <f t="shared" si="2"/>
        <v>0.82910603692215856</v>
      </c>
      <c r="R5" s="2">
        <f t="shared" si="3"/>
        <v>1.5007594023932103</v>
      </c>
      <c r="V5">
        <v>3</v>
      </c>
      <c r="W5" s="2">
        <v>2.1035404661520536</v>
      </c>
      <c r="X5" s="2">
        <v>3.4370587226224498</v>
      </c>
      <c r="Y5" s="2">
        <v>2.1447559686099003</v>
      </c>
      <c r="AA5" s="2">
        <f t="shared" si="4"/>
        <v>-1.3335182564703962</v>
      </c>
      <c r="AB5" s="2">
        <f t="shared" si="5"/>
        <v>-4.1215502457846664E-2</v>
      </c>
      <c r="AK5" s="2"/>
      <c r="AL5" s="2"/>
    </row>
    <row r="6" spans="1:38" x14ac:dyDescent="0.25">
      <c r="B6">
        <v>4</v>
      </c>
      <c r="C6" s="2">
        <v>3.5945461836564498</v>
      </c>
      <c r="D6" s="2">
        <v>2.9264402486902137</v>
      </c>
      <c r="E6" s="2">
        <v>2.9660116535385499</v>
      </c>
      <c r="G6" s="2">
        <f t="shared" si="0"/>
        <v>0.66810593496623616</v>
      </c>
      <c r="H6" s="2">
        <f t="shared" si="1"/>
        <v>0.62853453011789995</v>
      </c>
      <c r="J6" s="2"/>
      <c r="L6">
        <v>4</v>
      </c>
      <c r="M6" s="2">
        <v>2.2285065951766931</v>
      </c>
      <c r="N6" s="2">
        <v>2.9264402486902137</v>
      </c>
      <c r="O6" s="2">
        <v>2.9660116535385499</v>
      </c>
      <c r="Q6" s="2">
        <f t="shared" si="2"/>
        <v>-0.69793365351352055</v>
      </c>
      <c r="R6" s="2">
        <f t="shared" si="3"/>
        <v>-0.73750505836185676</v>
      </c>
      <c r="V6">
        <v>4</v>
      </c>
      <c r="W6" s="2">
        <v>2.2285065951766931</v>
      </c>
      <c r="X6" s="2">
        <v>2.5212553570751934</v>
      </c>
      <c r="Y6" s="2">
        <v>2.3072191694933837</v>
      </c>
      <c r="AA6" s="2">
        <f t="shared" si="4"/>
        <v>-0.2927487618985003</v>
      </c>
      <c r="AB6" s="2">
        <f t="shared" si="5"/>
        <v>-7.8712574316690542E-2</v>
      </c>
      <c r="AK6" s="2"/>
      <c r="AL6" s="2"/>
    </row>
    <row r="7" spans="1:38" x14ac:dyDescent="0.25">
      <c r="B7">
        <v>5</v>
      </c>
      <c r="C7" s="2">
        <v>3.5950325861797796</v>
      </c>
      <c r="D7" s="2">
        <v>3.5364439833206669</v>
      </c>
      <c r="E7" s="2">
        <v>2.7381026133398501</v>
      </c>
      <c r="G7" s="2">
        <f t="shared" si="0"/>
        <v>5.8588602859112715E-2</v>
      </c>
      <c r="H7" s="2">
        <f t="shared" si="1"/>
        <v>0.85692997283992955</v>
      </c>
      <c r="J7" s="2"/>
      <c r="L7">
        <v>5</v>
      </c>
      <c r="M7" s="2">
        <v>2.4421913315133303</v>
      </c>
      <c r="N7" s="2">
        <v>3.3525003501016366</v>
      </c>
      <c r="O7" s="2">
        <v>3.2750588446565301</v>
      </c>
      <c r="Q7" s="2">
        <f t="shared" si="2"/>
        <v>-0.91030901858830626</v>
      </c>
      <c r="R7" s="2">
        <f t="shared" si="3"/>
        <v>-0.83286751314319973</v>
      </c>
      <c r="V7">
        <v>5</v>
      </c>
      <c r="W7" s="2">
        <v>1.6754390346392301</v>
      </c>
      <c r="X7" s="2">
        <v>1.86567952305568</v>
      </c>
      <c r="Y7" s="2">
        <v>2.3406577394449735</v>
      </c>
      <c r="AA7" s="2">
        <f t="shared" si="4"/>
        <v>-0.19024048841644992</v>
      </c>
      <c r="AB7" s="2">
        <f t="shared" si="5"/>
        <v>-0.66521870480574341</v>
      </c>
      <c r="AK7" s="2"/>
      <c r="AL7" s="2"/>
    </row>
    <row r="8" spans="1:38" x14ac:dyDescent="0.25">
      <c r="B8">
        <v>6</v>
      </c>
      <c r="C8" s="2">
        <v>1.8318270479593401</v>
      </c>
      <c r="D8" s="2">
        <v>1.6915263487019665</v>
      </c>
      <c r="E8" s="2">
        <v>1.9158203283277502</v>
      </c>
      <c r="G8" s="2">
        <f t="shared" si="0"/>
        <v>0.14030069925737365</v>
      </c>
      <c r="H8" s="2">
        <f t="shared" si="1"/>
        <v>-8.3993280368410028E-2</v>
      </c>
      <c r="J8" s="2"/>
      <c r="L8">
        <v>6</v>
      </c>
      <c r="M8" s="2">
        <v>1.7272966923749133</v>
      </c>
      <c r="N8" s="2">
        <v>2.044833602961365</v>
      </c>
      <c r="O8" s="2">
        <v>1.53539683856537</v>
      </c>
      <c r="Q8" s="2">
        <f t="shared" si="2"/>
        <v>-0.31753691058645162</v>
      </c>
      <c r="R8" s="2">
        <f t="shared" si="3"/>
        <v>0.19189985380954333</v>
      </c>
      <c r="V8">
        <v>6</v>
      </c>
      <c r="W8" s="2">
        <v>2.1087770346180768</v>
      </c>
      <c r="X8" s="2">
        <v>2.2372825177751898</v>
      </c>
      <c r="Y8" s="2">
        <v>1.5238681659294464</v>
      </c>
      <c r="AA8" s="2">
        <f t="shared" si="4"/>
        <v>-0.12850548315711308</v>
      </c>
      <c r="AB8" s="2">
        <f t="shared" si="5"/>
        <v>0.58490886868863035</v>
      </c>
      <c r="AK8" s="2"/>
      <c r="AL8" s="2"/>
    </row>
    <row r="9" spans="1:38" x14ac:dyDescent="0.25">
      <c r="B9">
        <v>7</v>
      </c>
      <c r="C9" s="2">
        <v>3.4429834666631667</v>
      </c>
      <c r="D9" s="2">
        <v>2.2685828135431936</v>
      </c>
      <c r="E9" s="2">
        <v>2.9854935698077902</v>
      </c>
      <c r="G9" s="2">
        <f t="shared" si="0"/>
        <v>1.1744006531199731</v>
      </c>
      <c r="H9" s="2">
        <f t="shared" si="1"/>
        <v>0.45748989685537644</v>
      </c>
      <c r="J9" s="2"/>
      <c r="L9">
        <v>7</v>
      </c>
      <c r="M9" s="2">
        <v>2.9828838402297264</v>
      </c>
      <c r="N9" s="2">
        <v>2.8979626169614399</v>
      </c>
      <c r="O9" s="2">
        <v>2.7087964102913498</v>
      </c>
      <c r="Q9" s="2">
        <f t="shared" si="2"/>
        <v>8.492122326828655E-2</v>
      </c>
      <c r="R9" s="2">
        <f t="shared" si="3"/>
        <v>0.27408742993837665</v>
      </c>
      <c r="V9">
        <v>7</v>
      </c>
      <c r="W9" s="2">
        <v>2.4640400880962998</v>
      </c>
      <c r="X9" s="2">
        <v>2.8928230547549698</v>
      </c>
      <c r="Y9" s="2">
        <v>4.3449787141256602</v>
      </c>
      <c r="AA9" s="2">
        <f t="shared" si="4"/>
        <v>-0.42878296665867</v>
      </c>
      <c r="AB9" s="2">
        <f t="shared" si="5"/>
        <v>-1.8809386260293603</v>
      </c>
      <c r="AG9" s="3"/>
      <c r="AK9" s="2"/>
      <c r="AL9" s="2"/>
    </row>
    <row r="10" spans="1:38" x14ac:dyDescent="0.25">
      <c r="B10">
        <v>8</v>
      </c>
      <c r="C10" s="2">
        <v>2.5948664812798268</v>
      </c>
      <c r="D10" s="2">
        <v>2.2088540181812331</v>
      </c>
      <c r="E10" s="2">
        <v>2.8883206233433398</v>
      </c>
      <c r="G10" s="2">
        <f t="shared" si="0"/>
        <v>0.38601246309859372</v>
      </c>
      <c r="H10" s="2">
        <f t="shared" si="1"/>
        <v>-0.29345414206351306</v>
      </c>
      <c r="J10" s="2"/>
      <c r="L10">
        <v>8</v>
      </c>
      <c r="M10" s="2">
        <v>2.9948561095543029</v>
      </c>
      <c r="N10" s="2">
        <v>2.9596344814812063</v>
      </c>
      <c r="O10" s="2">
        <v>2.8555287357682602</v>
      </c>
      <c r="Q10" s="2">
        <f t="shared" si="2"/>
        <v>3.5221628073096589E-2</v>
      </c>
      <c r="R10" s="2">
        <f t="shared" si="3"/>
        <v>0.13932737378604276</v>
      </c>
      <c r="V10">
        <v>8</v>
      </c>
      <c r="W10" s="2">
        <v>2.1739624151701138</v>
      </c>
      <c r="X10" s="2">
        <v>2.3248172540245302</v>
      </c>
      <c r="Y10" s="2">
        <v>1.5540343982541065</v>
      </c>
      <c r="AA10" s="2">
        <f t="shared" si="4"/>
        <v>-0.15085483885441642</v>
      </c>
      <c r="AB10" s="2">
        <f t="shared" si="5"/>
        <v>0.6199280169160073</v>
      </c>
      <c r="AK10" s="2"/>
      <c r="AL10" s="2"/>
    </row>
    <row r="11" spans="1:38" x14ac:dyDescent="0.25">
      <c r="B11">
        <v>9</v>
      </c>
      <c r="C11" s="2">
        <v>3.4478674826697837</v>
      </c>
      <c r="D11" s="2">
        <v>3.5977122090255631</v>
      </c>
      <c r="E11" s="2">
        <v>2.8657365736637268</v>
      </c>
      <c r="G11" s="2">
        <f t="shared" si="0"/>
        <v>-0.14984472635577939</v>
      </c>
      <c r="H11" s="2">
        <f t="shared" si="1"/>
        <v>0.58213090900605691</v>
      </c>
      <c r="J11" s="2"/>
      <c r="L11">
        <v>9</v>
      </c>
      <c r="M11" s="2">
        <v>2.6270167399654736</v>
      </c>
      <c r="N11" s="2">
        <v>3.4521238861067638</v>
      </c>
      <c r="O11" s="2">
        <v>3.4051141237147773</v>
      </c>
      <c r="Q11" s="2">
        <f t="shared" si="2"/>
        <v>-0.82510714614129022</v>
      </c>
      <c r="R11" s="2">
        <f t="shared" si="3"/>
        <v>-0.77809738374930371</v>
      </c>
      <c r="V11">
        <v>9</v>
      </c>
      <c r="W11" s="2">
        <v>2.522943847184937</v>
      </c>
      <c r="X11" s="2">
        <v>2.4381353260303067</v>
      </c>
      <c r="Y11" s="2">
        <v>2.6048738708322601</v>
      </c>
      <c r="AA11" s="2">
        <f t="shared" si="4"/>
        <v>8.4808521154630334E-2</v>
      </c>
      <c r="AB11" s="2">
        <f t="shared" si="5"/>
        <v>-8.1930023647323047E-2</v>
      </c>
      <c r="AK11" s="2"/>
      <c r="AL11" s="2"/>
    </row>
    <row r="12" spans="1:38" x14ac:dyDescent="0.25">
      <c r="B12">
        <v>10</v>
      </c>
      <c r="C12" s="2">
        <v>2.5578270597418062</v>
      </c>
      <c r="D12" s="2">
        <v>3.4174727366432331</v>
      </c>
      <c r="E12" s="2">
        <v>2.4464403979310894</v>
      </c>
      <c r="G12" s="2">
        <f t="shared" si="0"/>
        <v>-0.8596456769014269</v>
      </c>
      <c r="H12" s="2">
        <f t="shared" si="1"/>
        <v>0.11138666181071688</v>
      </c>
      <c r="J12" s="2"/>
      <c r="L12">
        <v>10</v>
      </c>
      <c r="M12" s="2">
        <v>2.8932115455837932</v>
      </c>
      <c r="N12" s="2">
        <v>3.4848648565787128</v>
      </c>
      <c r="O12" s="2">
        <v>3.100690300289827</v>
      </c>
      <c r="Q12" s="2">
        <f t="shared" si="2"/>
        <v>-0.59165331099491958</v>
      </c>
      <c r="R12" s="2">
        <f t="shared" si="3"/>
        <v>-0.20747875470603372</v>
      </c>
      <c r="V12">
        <v>10</v>
      </c>
      <c r="W12" s="2">
        <v>2.6526267532366368</v>
      </c>
      <c r="X12" s="2">
        <v>2.2428048929750499</v>
      </c>
      <c r="Y12" s="2">
        <v>2.2866485128183265</v>
      </c>
      <c r="AA12" s="2">
        <f t="shared" si="4"/>
        <v>0.40982186026158685</v>
      </c>
      <c r="AB12" s="2">
        <f t="shared" si="5"/>
        <v>0.36597824041831029</v>
      </c>
      <c r="AK12" s="2"/>
      <c r="AL12" s="2"/>
    </row>
    <row r="13" spans="1:38" x14ac:dyDescent="0.25">
      <c r="B13">
        <v>11</v>
      </c>
      <c r="C13" s="2">
        <v>2.40363108826504</v>
      </c>
      <c r="D13" s="2">
        <v>2.5813550253057702</v>
      </c>
      <c r="E13" s="2">
        <v>2.3041520248666436</v>
      </c>
      <c r="G13" s="2">
        <f t="shared" si="0"/>
        <v>-0.1777239370407302</v>
      </c>
      <c r="H13" s="2">
        <f t="shared" si="1"/>
        <v>9.9479063398396406E-2</v>
      </c>
      <c r="J13" s="2"/>
      <c r="L13">
        <v>11</v>
      </c>
      <c r="M13" s="2">
        <v>2.6444662445447502</v>
      </c>
      <c r="N13" s="2">
        <v>2.7429407045799699</v>
      </c>
      <c r="O13" s="2">
        <v>2.6753194815210999</v>
      </c>
      <c r="Q13" s="2">
        <f t="shared" si="2"/>
        <v>-9.8474460035219646E-2</v>
      </c>
      <c r="R13" s="2">
        <f t="shared" si="3"/>
        <v>-3.0853236976349674E-2</v>
      </c>
      <c r="V13">
        <v>11</v>
      </c>
      <c r="W13" s="2">
        <v>1.7214457237879133</v>
      </c>
      <c r="X13" s="2">
        <v>1.353618830046055</v>
      </c>
      <c r="Y13" s="2">
        <v>2.4276631597569835</v>
      </c>
      <c r="AA13" s="2">
        <f t="shared" si="4"/>
        <v>0.36782689374185829</v>
      </c>
      <c r="AB13" s="2">
        <f t="shared" si="5"/>
        <v>-0.70621743596907027</v>
      </c>
      <c r="AK13" s="2"/>
      <c r="AL13" s="2"/>
    </row>
    <row r="14" spans="1:38" x14ac:dyDescent="0.25">
      <c r="B14">
        <v>12</v>
      </c>
      <c r="C14" s="2">
        <v>1.8474330402584231</v>
      </c>
      <c r="D14" s="2">
        <v>2.7849414158526429</v>
      </c>
      <c r="E14" s="2">
        <v>2.374480727850854</v>
      </c>
      <c r="G14" s="2">
        <f t="shared" si="0"/>
        <v>-0.93750837559421973</v>
      </c>
      <c r="H14" s="2">
        <f t="shared" si="1"/>
        <v>-0.52704768759243081</v>
      </c>
      <c r="J14" s="2"/>
      <c r="L14">
        <v>12</v>
      </c>
      <c r="M14" s="2">
        <v>1.5623706007655966</v>
      </c>
      <c r="N14" s="2">
        <v>1.6241282995194399</v>
      </c>
      <c r="O14" s="2">
        <v>2.8322247286890598</v>
      </c>
      <c r="Q14" s="2">
        <f t="shared" si="2"/>
        <v>-6.1757698753843293E-2</v>
      </c>
      <c r="R14" s="2">
        <f t="shared" si="3"/>
        <v>-1.2698541279234632</v>
      </c>
      <c r="V14">
        <v>12</v>
      </c>
      <c r="W14" s="2">
        <v>1.6138766858474052</v>
      </c>
      <c r="X14" s="2">
        <v>1.39</v>
      </c>
      <c r="Y14" s="2">
        <v>1.48</v>
      </c>
      <c r="AA14" s="2">
        <f t="shared" si="4"/>
        <v>0.22387668584740528</v>
      </c>
      <c r="AB14" s="2">
        <f t="shared" si="5"/>
        <v>0.1338766858474052</v>
      </c>
      <c r="AI14" s="3"/>
      <c r="AK14" s="2"/>
      <c r="AL14" s="2"/>
    </row>
    <row r="15" spans="1:38" x14ac:dyDescent="0.25">
      <c r="W15" s="2"/>
      <c r="X15" s="2"/>
      <c r="Y15" s="2"/>
    </row>
    <row r="16" spans="1:38" x14ac:dyDescent="0.25">
      <c r="C16" s="2">
        <f>AVERAGE(C3:C14)</f>
        <v>2.6625771300917802</v>
      </c>
      <c r="D16" s="2">
        <f>AVERAGE(D3:D14)</f>
        <v>2.7388012082166231</v>
      </c>
      <c r="E16" s="2">
        <f>AVERAGE(E3:E14)</f>
        <v>2.5556658959288172</v>
      </c>
      <c r="G16" s="2">
        <f>AVERAGE(G3:G14)</f>
        <v>-7.6224078124842498E-2</v>
      </c>
      <c r="H16" s="2">
        <f>AVERAGE(H3:H14)</f>
        <v>0.10691123416296322</v>
      </c>
      <c r="M16" s="2">
        <f>AVERAGE(M3:M14)</f>
        <v>2.4349886172612449</v>
      </c>
      <c r="N16" s="2">
        <f>AVERAGE(N3:N14)</f>
        <v>2.6568217228775359</v>
      </c>
      <c r="O16" s="2">
        <f>AVERAGE(O3:O14)</f>
        <v>2.5837475898160176</v>
      </c>
      <c r="Q16" s="2">
        <f>AVERAGE(Q3:Q14)</f>
        <v>-0.22183310561629102</v>
      </c>
      <c r="R16" s="2">
        <f>AVERAGE(R3:R14)</f>
        <v>-0.14875897255477222</v>
      </c>
      <c r="W16" s="2">
        <f>AVERAGE(W3:W14)</f>
        <v>1.9972311016492894</v>
      </c>
      <c r="X16" s="2">
        <f>AVERAGE(X3:X14)</f>
        <v>2.1859434913216718</v>
      </c>
      <c r="Y16" s="2">
        <f>AVERAGE(Y3:Y14)</f>
        <v>2.1591716323981127</v>
      </c>
      <c r="AA16" s="2">
        <f>AVERAGE(AA3:AA14)</f>
        <v>-0.18871238967238149</v>
      </c>
      <c r="AB16" s="2">
        <f>AVERAGE(AB3:AB14)</f>
        <v>-0.16194053074882303</v>
      </c>
      <c r="AG16" s="3"/>
      <c r="AH16" s="3"/>
      <c r="AI16" s="3"/>
      <c r="AK16" s="3"/>
      <c r="AL16" s="3"/>
    </row>
    <row r="17" spans="1:38" x14ac:dyDescent="0.25">
      <c r="C17" s="2">
        <f>STDEV(C3:C14)</f>
        <v>0.73129041421800733</v>
      </c>
      <c r="D17" s="2">
        <f>STDEV(D3:D14)</f>
        <v>0.67611860881119556</v>
      </c>
      <c r="E17" s="2">
        <f>STDEV(E3:E14)</f>
        <v>0.36705437638061938</v>
      </c>
      <c r="G17" s="2">
        <f>STDEV(G3:G14)</f>
        <v>0.61893043041345652</v>
      </c>
      <c r="H17" s="2">
        <f>STDEV(H3:H14)</f>
        <v>0.44768509298742976</v>
      </c>
      <c r="M17" s="2">
        <f>STDEV(M3:M14)</f>
        <v>0.66131716676558783</v>
      </c>
      <c r="N17" s="2">
        <f>STDEV(N3:N14)</f>
        <v>0.68077554376648775</v>
      </c>
      <c r="O17" s="2">
        <f>STDEV(O3:O14)</f>
        <v>0.64238612420062813</v>
      </c>
      <c r="Q17" s="2">
        <f>STDEV(Q3:Q14)</f>
        <v>0.48658097305294462</v>
      </c>
      <c r="R17" s="2">
        <f>STDEV(R3:R14)</f>
        <v>0.7245128991247286</v>
      </c>
      <c r="W17" s="2">
        <f>STDEV(W3:W14)</f>
        <v>0.4468671207791784</v>
      </c>
      <c r="X17" s="2">
        <f>STDEV(X3:X14)</f>
        <v>0.62168328045132393</v>
      </c>
      <c r="Y17" s="2">
        <f>STDEV(Y3:Y14)</f>
        <v>0.81909187163015507</v>
      </c>
      <c r="AA17" s="2">
        <f>STDEV(AA3:AA14)</f>
        <v>0.4899023910546112</v>
      </c>
      <c r="AB17" s="2">
        <f>STDEV(AB3:AB14)</f>
        <v>0.68133790022007079</v>
      </c>
      <c r="AG17" s="3"/>
      <c r="AH17" s="3"/>
      <c r="AI17" s="3"/>
      <c r="AK17" s="3"/>
      <c r="AL17" s="3"/>
    </row>
    <row r="20" spans="1:38" x14ac:dyDescent="0.25">
      <c r="A20" t="s">
        <v>16</v>
      </c>
      <c r="G20" t="s">
        <v>14</v>
      </c>
      <c r="H20" t="s">
        <v>15</v>
      </c>
      <c r="K20" t="s">
        <v>16</v>
      </c>
      <c r="Q20" t="s">
        <v>14</v>
      </c>
      <c r="R20" t="s">
        <v>15</v>
      </c>
      <c r="U20" t="s">
        <v>16</v>
      </c>
      <c r="AA20" t="s">
        <v>14</v>
      </c>
      <c r="AB20" t="s">
        <v>15</v>
      </c>
    </row>
    <row r="21" spans="1:38" x14ac:dyDescent="0.25">
      <c r="A21" s="1">
        <v>0.25</v>
      </c>
      <c r="B21" t="s">
        <v>1</v>
      </c>
      <c r="C21" t="s">
        <v>26</v>
      </c>
      <c r="D21" t="s">
        <v>27</v>
      </c>
      <c r="E21" t="s">
        <v>28</v>
      </c>
      <c r="G21" t="s">
        <v>13</v>
      </c>
      <c r="H21" t="s">
        <v>13</v>
      </c>
      <c r="J21" s="1"/>
      <c r="K21" s="1">
        <v>0.5</v>
      </c>
      <c r="L21" t="s">
        <v>1</v>
      </c>
      <c r="M21" t="s">
        <v>26</v>
      </c>
      <c r="N21" t="s">
        <v>27</v>
      </c>
      <c r="O21" t="s">
        <v>28</v>
      </c>
      <c r="Q21" t="s">
        <v>13</v>
      </c>
      <c r="R21" t="s">
        <v>13</v>
      </c>
      <c r="U21" s="1">
        <v>0.75</v>
      </c>
      <c r="V21" t="s">
        <v>1</v>
      </c>
      <c r="W21" t="s">
        <v>26</v>
      </c>
      <c r="X21" t="s">
        <v>27</v>
      </c>
      <c r="Y21" t="s">
        <v>28</v>
      </c>
      <c r="AA21" t="s">
        <v>13</v>
      </c>
      <c r="AB21" t="s">
        <v>13</v>
      </c>
    </row>
    <row r="22" spans="1:38" x14ac:dyDescent="0.25">
      <c r="B22">
        <v>1</v>
      </c>
      <c r="C22" s="2">
        <v>2.3261590771979335</v>
      </c>
      <c r="D22" s="2">
        <v>1.8694085967573963</v>
      </c>
      <c r="E22" s="2">
        <v>2.506656919833893</v>
      </c>
      <c r="G22" s="2">
        <f>C22-D22</f>
        <v>0.45675048044053712</v>
      </c>
      <c r="H22" s="2">
        <f>C22-E22</f>
        <v>-0.18049784263595958</v>
      </c>
      <c r="J22" s="2"/>
      <c r="L22">
        <v>1</v>
      </c>
      <c r="M22" s="2">
        <v>1.5492532065422069</v>
      </c>
      <c r="N22" s="2">
        <v>1.6334548066833865</v>
      </c>
      <c r="O22" s="2">
        <v>1.6812765741364533</v>
      </c>
      <c r="Q22" s="2">
        <f>M22-N22</f>
        <v>-8.4201600141179611E-2</v>
      </c>
      <c r="R22" s="2">
        <f>M22-O22</f>
        <v>-0.13202336759424638</v>
      </c>
      <c r="V22">
        <v>1</v>
      </c>
      <c r="W22" s="2">
        <v>0.94981775467097451</v>
      </c>
      <c r="X22" s="2">
        <v>1.5363185883843036</v>
      </c>
      <c r="Y22" s="2">
        <v>1.8029505238444432</v>
      </c>
      <c r="AA22" s="2">
        <f>W22-X22</f>
        <v>-0.58650083371332906</v>
      </c>
      <c r="AB22" s="2">
        <f>W22-Y22</f>
        <v>-0.8531327691734687</v>
      </c>
    </row>
    <row r="23" spans="1:38" x14ac:dyDescent="0.25">
      <c r="B23">
        <v>2</v>
      </c>
      <c r="C23" s="2">
        <v>1.7519788922200901</v>
      </c>
      <c r="D23" s="2">
        <v>1.9859151531966399</v>
      </c>
      <c r="E23" s="2">
        <v>1.9647770191008667</v>
      </c>
      <c r="G23" s="2">
        <f t="shared" ref="G23:G33" si="6">C23-D23</f>
        <v>-0.23393626097654985</v>
      </c>
      <c r="H23" s="2">
        <f t="shared" ref="H23:H33" si="7">C23-E23</f>
        <v>-0.21279812688077659</v>
      </c>
      <c r="J23" s="2"/>
      <c r="L23">
        <v>2</v>
      </c>
      <c r="M23" s="2">
        <v>2.1444667226817131</v>
      </c>
      <c r="N23" s="2">
        <v>2.1062397991325632</v>
      </c>
      <c r="O23" s="2">
        <v>1.8599517372675702</v>
      </c>
      <c r="Q23" s="2">
        <f t="shared" ref="Q23:Q33" si="8">M23-N23</f>
        <v>3.8226923549149916E-2</v>
      </c>
      <c r="R23" s="2">
        <f t="shared" ref="R23:R33" si="9">M23-O23</f>
        <v>0.28451498541414288</v>
      </c>
      <c r="V23">
        <v>2</v>
      </c>
      <c r="W23" s="2">
        <v>1.6107610672967867</v>
      </c>
      <c r="X23" s="2">
        <v>1.3957169576783233</v>
      </c>
      <c r="Y23" s="2">
        <v>1.7197899464489468</v>
      </c>
      <c r="AA23" s="2">
        <f t="shared" ref="AA23:AA33" si="10">W23-X23</f>
        <v>0.21504410961846343</v>
      </c>
      <c r="AB23" s="2">
        <f t="shared" ref="AB23:AB33" si="11">W23-Y23</f>
        <v>-0.10902887915216009</v>
      </c>
    </row>
    <row r="24" spans="1:38" x14ac:dyDescent="0.25">
      <c r="B24">
        <v>3</v>
      </c>
      <c r="C24" s="2">
        <v>2.4032062427202368</v>
      </c>
      <c r="D24" s="2">
        <v>3.0399763985239967</v>
      </c>
      <c r="E24" s="2">
        <v>3.3749144546598733</v>
      </c>
      <c r="G24" s="2">
        <f t="shared" si="6"/>
        <v>-0.63677015580375995</v>
      </c>
      <c r="H24" s="2">
        <f t="shared" si="7"/>
        <v>-0.97170821193963652</v>
      </c>
      <c r="J24" s="2"/>
      <c r="L24">
        <v>3</v>
      </c>
      <c r="M24" s="2">
        <v>2.6460799332524365</v>
      </c>
      <c r="N24" s="2">
        <v>3.4798700432196896</v>
      </c>
      <c r="O24" s="2">
        <v>2.8389825962626265</v>
      </c>
      <c r="Q24" s="2">
        <f t="shared" si="8"/>
        <v>-0.83379010996725311</v>
      </c>
      <c r="R24" s="2">
        <f t="shared" si="9"/>
        <v>-0.19290266301018999</v>
      </c>
      <c r="V24">
        <v>3</v>
      </c>
      <c r="W24" s="2">
        <v>2.1284627933339166</v>
      </c>
      <c r="X24" s="2">
        <v>2.5735843261678171</v>
      </c>
      <c r="Y24" s="2">
        <v>2.5787867780402669</v>
      </c>
      <c r="AA24" s="2">
        <f t="shared" si="10"/>
        <v>-0.44512153283390044</v>
      </c>
      <c r="AB24" s="2">
        <f t="shared" si="11"/>
        <v>-0.45032398470635027</v>
      </c>
    </row>
    <row r="25" spans="1:38" x14ac:dyDescent="0.25">
      <c r="B25">
        <v>4</v>
      </c>
      <c r="C25" s="2">
        <v>2.6269480307707664</v>
      </c>
      <c r="D25" s="2">
        <v>3.2544733726136164</v>
      </c>
      <c r="E25" s="2">
        <v>3.3773471949578497</v>
      </c>
      <c r="G25" s="2">
        <f t="shared" si="6"/>
        <v>-0.62752534184284992</v>
      </c>
      <c r="H25" s="2">
        <f t="shared" si="7"/>
        <v>-0.7503991641870833</v>
      </c>
      <c r="J25" s="2"/>
      <c r="L25">
        <v>4</v>
      </c>
      <c r="M25" s="2">
        <v>3.2317627631413499</v>
      </c>
      <c r="N25" s="2">
        <v>3.1103589874509772</v>
      </c>
      <c r="O25" s="2">
        <v>3.6585281885595871</v>
      </c>
      <c r="Q25" s="2">
        <f t="shared" si="8"/>
        <v>0.12140377569037275</v>
      </c>
      <c r="R25" s="2">
        <f t="shared" si="9"/>
        <v>-0.42676542541823714</v>
      </c>
      <c r="V25">
        <v>4</v>
      </c>
      <c r="W25" s="2">
        <v>2.5550010357044552</v>
      </c>
      <c r="X25" s="2">
        <v>2.5240337212234771</v>
      </c>
      <c r="Y25" s="2">
        <v>2.7101391156838868</v>
      </c>
      <c r="AA25" s="2">
        <f t="shared" si="10"/>
        <v>3.0967314480978114E-2</v>
      </c>
      <c r="AB25" s="2">
        <f t="shared" si="11"/>
        <v>-0.15513807997943152</v>
      </c>
    </row>
    <row r="26" spans="1:38" x14ac:dyDescent="0.25">
      <c r="B26">
        <v>5</v>
      </c>
      <c r="C26" s="2">
        <v>2.6348034721013565</v>
      </c>
      <c r="D26" s="2">
        <v>3.0082849378821899</v>
      </c>
      <c r="E26" s="2">
        <v>2.8112891225441166</v>
      </c>
      <c r="G26" s="2">
        <f t="shared" si="6"/>
        <v>-0.37348146578083341</v>
      </c>
      <c r="H26" s="2">
        <f t="shared" si="7"/>
        <v>-0.1764856504427601</v>
      </c>
      <c r="J26" s="2"/>
      <c r="L26">
        <v>5</v>
      </c>
      <c r="M26" s="2">
        <v>2.9818708880208331</v>
      </c>
      <c r="N26" s="2">
        <v>2.3235851854476199</v>
      </c>
      <c r="O26" s="2">
        <v>2.5571002858341365</v>
      </c>
      <c r="Q26" s="2">
        <f t="shared" si="8"/>
        <v>0.65828570257321317</v>
      </c>
      <c r="R26" s="2">
        <f t="shared" si="9"/>
        <v>0.4247706021866966</v>
      </c>
      <c r="V26">
        <v>5</v>
      </c>
      <c r="W26" s="2">
        <v>2.1464616193497399</v>
      </c>
      <c r="X26" s="2">
        <v>2.2251738880631571</v>
      </c>
      <c r="Y26" s="2">
        <v>1.4519494086517135</v>
      </c>
      <c r="AA26" s="2">
        <f t="shared" si="10"/>
        <v>-7.8712268713417188E-2</v>
      </c>
      <c r="AB26" s="2">
        <f t="shared" si="11"/>
        <v>0.69451221069802638</v>
      </c>
    </row>
    <row r="27" spans="1:38" x14ac:dyDescent="0.25">
      <c r="B27">
        <v>6</v>
      </c>
      <c r="C27" s="2">
        <v>2.2925569737375766</v>
      </c>
      <c r="D27" s="2">
        <v>1.739896649788637</v>
      </c>
      <c r="E27" s="2">
        <v>1.76064930001814</v>
      </c>
      <c r="G27" s="2">
        <f t="shared" si="6"/>
        <v>0.5526603239489396</v>
      </c>
      <c r="H27" s="2">
        <f t="shared" si="7"/>
        <v>0.53190767371943659</v>
      </c>
      <c r="J27" s="2"/>
      <c r="L27">
        <v>6</v>
      </c>
      <c r="M27" s="2">
        <v>2.4560954243664548</v>
      </c>
      <c r="N27" s="2">
        <v>1.9749617476436165</v>
      </c>
      <c r="O27" s="2">
        <v>1.46774442798113</v>
      </c>
      <c r="Q27" s="2">
        <f t="shared" si="8"/>
        <v>0.48113367672283824</v>
      </c>
      <c r="R27" s="2">
        <f t="shared" si="9"/>
        <v>0.98835099638532475</v>
      </c>
      <c r="V27">
        <v>6</v>
      </c>
      <c r="W27" s="2">
        <v>2.2644015368405301</v>
      </c>
      <c r="X27" s="2">
        <v>2.0356872077195369</v>
      </c>
      <c r="Y27" s="2">
        <v>1.9205469155137749</v>
      </c>
      <c r="AA27" s="2">
        <f t="shared" si="10"/>
        <v>0.22871432912099321</v>
      </c>
      <c r="AB27" s="2">
        <f t="shared" si="11"/>
        <v>0.34385462132675526</v>
      </c>
    </row>
    <row r="28" spans="1:38" x14ac:dyDescent="0.25">
      <c r="B28">
        <v>7</v>
      </c>
      <c r="C28" s="2">
        <v>2.34</v>
      </c>
      <c r="D28" s="2">
        <v>2.48</v>
      </c>
      <c r="E28" s="2">
        <v>2.63</v>
      </c>
      <c r="G28" s="2">
        <f t="shared" si="6"/>
        <v>-0.14000000000000012</v>
      </c>
      <c r="H28" s="2">
        <f t="shared" si="7"/>
        <v>-0.29000000000000004</v>
      </c>
      <c r="J28" s="2"/>
      <c r="L28">
        <v>7</v>
      </c>
      <c r="M28" s="2">
        <v>2.69</v>
      </c>
      <c r="N28" s="2">
        <v>2.44</v>
      </c>
      <c r="O28" s="2">
        <v>2.34</v>
      </c>
      <c r="Q28" s="2">
        <f t="shared" si="8"/>
        <v>0.25</v>
      </c>
      <c r="R28" s="2">
        <f t="shared" si="9"/>
        <v>0.35000000000000009</v>
      </c>
      <c r="V28">
        <v>7</v>
      </c>
      <c r="W28" s="2">
        <v>2.14</v>
      </c>
      <c r="X28" s="2">
        <v>2.0499999999999998</v>
      </c>
      <c r="Y28" s="2">
        <v>2.0299999999999998</v>
      </c>
      <c r="AA28" s="2">
        <f t="shared" si="10"/>
        <v>9.0000000000000302E-2</v>
      </c>
      <c r="AB28" s="2">
        <f t="shared" si="11"/>
        <v>0.11000000000000032</v>
      </c>
    </row>
    <row r="29" spans="1:38" x14ac:dyDescent="0.25">
      <c r="B29">
        <v>8</v>
      </c>
      <c r="C29" s="2">
        <v>3.4861023354179363</v>
      </c>
      <c r="D29" s="2">
        <v>1.9952332013205267</v>
      </c>
      <c r="E29" s="2">
        <v>2.4654502825003335</v>
      </c>
      <c r="G29" s="2">
        <f t="shared" si="6"/>
        <v>1.4908691340974096</v>
      </c>
      <c r="H29" s="2">
        <f t="shared" si="7"/>
        <v>1.0206520529176029</v>
      </c>
      <c r="J29" s="2"/>
      <c r="L29">
        <v>8</v>
      </c>
      <c r="M29" s="2">
        <v>2.33833930684008</v>
      </c>
      <c r="N29" s="2">
        <v>2.7458369149905866</v>
      </c>
      <c r="O29" s="2">
        <v>2.1926178097030933</v>
      </c>
      <c r="Q29" s="2">
        <f t="shared" si="8"/>
        <v>-0.40749760815050662</v>
      </c>
      <c r="R29" s="2">
        <f t="shared" si="9"/>
        <v>0.14572149713698668</v>
      </c>
      <c r="V29">
        <v>8</v>
      </c>
      <c r="W29" s="2">
        <v>2.1359000565392234</v>
      </c>
      <c r="X29" s="2">
        <v>2.43096703383448</v>
      </c>
      <c r="Y29" s="2">
        <v>1.7006064348156436</v>
      </c>
      <c r="AA29" s="2">
        <f t="shared" si="10"/>
        <v>-0.29506697729525655</v>
      </c>
      <c r="AB29" s="2">
        <f t="shared" si="11"/>
        <v>0.43529362172357988</v>
      </c>
    </row>
    <row r="30" spans="1:38" x14ac:dyDescent="0.25">
      <c r="B30">
        <v>9</v>
      </c>
      <c r="C30" s="2">
        <v>3.0964467485361662</v>
      </c>
      <c r="D30" s="2">
        <v>2.6587605781474797</v>
      </c>
      <c r="E30" s="2">
        <v>3.2048834375306203</v>
      </c>
      <c r="G30" s="2">
        <f t="shared" si="6"/>
        <v>0.43768617038868651</v>
      </c>
      <c r="H30" s="2">
        <f t="shared" si="7"/>
        <v>-0.10843668899445413</v>
      </c>
      <c r="J30" s="2"/>
      <c r="L30">
        <v>9</v>
      </c>
      <c r="M30" s="2">
        <v>2.4621833600733303</v>
      </c>
      <c r="N30" s="2">
        <v>2.7063686113027532</v>
      </c>
      <c r="O30" s="2">
        <v>3.1878127731846533</v>
      </c>
      <c r="Q30" s="2">
        <f t="shared" si="8"/>
        <v>-0.24418525122942292</v>
      </c>
      <c r="R30" s="2">
        <f t="shared" si="9"/>
        <v>-0.72562941311132301</v>
      </c>
      <c r="V30">
        <v>9</v>
      </c>
      <c r="W30" s="2">
        <v>1.6504525591582664</v>
      </c>
      <c r="X30" s="2">
        <v>2.4737938919111149</v>
      </c>
      <c r="Y30" s="2">
        <v>2.4404191185448334</v>
      </c>
      <c r="AA30" s="2">
        <f t="shared" si="10"/>
        <v>-0.82334133275284849</v>
      </c>
      <c r="AB30" s="2">
        <f t="shared" si="11"/>
        <v>-0.78996655938656701</v>
      </c>
    </row>
    <row r="31" spans="1:38" x14ac:dyDescent="0.25">
      <c r="B31">
        <v>10</v>
      </c>
      <c r="C31" s="2">
        <v>2.4959111083578471</v>
      </c>
      <c r="D31" s="2">
        <v>3.1756924587041935</v>
      </c>
      <c r="E31" s="2">
        <v>3.0133256344701631</v>
      </c>
      <c r="G31" s="2">
        <f t="shared" si="6"/>
        <v>-0.67978135034634635</v>
      </c>
      <c r="H31" s="2">
        <f t="shared" si="7"/>
        <v>-0.51741452611231598</v>
      </c>
      <c r="J31" s="2"/>
      <c r="L31">
        <v>10</v>
      </c>
      <c r="M31" s="2">
        <v>2.7129478670133134</v>
      </c>
      <c r="N31" s="2">
        <v>2.8041915996731532</v>
      </c>
      <c r="O31" s="2">
        <v>2.6004086590292168</v>
      </c>
      <c r="Q31" s="2">
        <f t="shared" si="8"/>
        <v>-9.1243732659839871E-2</v>
      </c>
      <c r="R31" s="2">
        <f t="shared" si="9"/>
        <v>0.11253920798409656</v>
      </c>
      <c r="V31">
        <v>10</v>
      </c>
      <c r="W31" s="2">
        <v>1.8834847218385469</v>
      </c>
      <c r="X31" s="2">
        <v>2.3233097219302699</v>
      </c>
      <c r="Y31" s="2">
        <v>1.6327278782802399</v>
      </c>
      <c r="AA31" s="2">
        <f t="shared" si="10"/>
        <v>-0.43982500009172298</v>
      </c>
      <c r="AB31" s="2">
        <f t="shared" si="11"/>
        <v>0.25075684355830696</v>
      </c>
    </row>
    <row r="32" spans="1:38" x14ac:dyDescent="0.25">
      <c r="B32">
        <v>11</v>
      </c>
      <c r="C32" s="2">
        <v>2.4052090692193535</v>
      </c>
      <c r="D32" s="2">
        <v>3.6231410239434436</v>
      </c>
      <c r="E32" s="2">
        <v>3.9467299634290165</v>
      </c>
      <c r="G32" s="2">
        <f t="shared" si="6"/>
        <v>-1.2179319547240901</v>
      </c>
      <c r="H32" s="2">
        <f t="shared" si="7"/>
        <v>-1.541520894209663</v>
      </c>
      <c r="J32" s="2"/>
      <c r="L32">
        <v>11</v>
      </c>
      <c r="M32" s="2">
        <v>2.0434525218899364</v>
      </c>
      <c r="N32" s="2">
        <v>2.8376282413476135</v>
      </c>
      <c r="O32" s="2">
        <v>3.1364882847096069</v>
      </c>
      <c r="Q32" s="2">
        <f t="shared" si="8"/>
        <v>-0.79417571945767707</v>
      </c>
      <c r="R32" s="2">
        <f t="shared" si="9"/>
        <v>-1.0930357628196705</v>
      </c>
      <c r="V32">
        <v>11</v>
      </c>
      <c r="W32" s="2">
        <v>1.8824456709062767</v>
      </c>
      <c r="X32" s="2">
        <v>2.2092345393162502</v>
      </c>
      <c r="Y32" s="2">
        <v>4.8138435526478593</v>
      </c>
      <c r="AA32" s="2">
        <f t="shared" si="10"/>
        <v>-0.32678886840997357</v>
      </c>
      <c r="AB32" s="2">
        <f t="shared" si="11"/>
        <v>-2.9313978817415824</v>
      </c>
    </row>
    <row r="33" spans="1:28" x14ac:dyDescent="0.25">
      <c r="B33">
        <v>12</v>
      </c>
      <c r="C33" s="2">
        <v>2.1426342298848331</v>
      </c>
      <c r="D33" s="2">
        <v>2.42143286430001</v>
      </c>
      <c r="E33" s="2">
        <v>2.6144154628092933</v>
      </c>
      <c r="G33" s="2">
        <f t="shared" si="6"/>
        <v>-0.27879863441517694</v>
      </c>
      <c r="H33" s="2">
        <f t="shared" si="7"/>
        <v>-0.47178123292446017</v>
      </c>
      <c r="J33" s="2"/>
      <c r="L33">
        <v>12</v>
      </c>
      <c r="M33" s="2">
        <v>1.8104374513091832</v>
      </c>
      <c r="N33" s="2">
        <v>2.17613157288105</v>
      </c>
      <c r="O33" s="2">
        <v>2.4336890031384733</v>
      </c>
      <c r="Q33" s="2">
        <f t="shared" si="8"/>
        <v>-0.36569412157186676</v>
      </c>
      <c r="R33" s="2">
        <f t="shared" si="9"/>
        <v>-0.62325155182929004</v>
      </c>
      <c r="V33">
        <v>12</v>
      </c>
      <c r="W33" s="2">
        <v>1.4744647373568567</v>
      </c>
      <c r="X33" s="2">
        <v>1.6568433317298232</v>
      </c>
      <c r="Y33" s="2">
        <v>2.3348399298989535</v>
      </c>
      <c r="AA33" s="2">
        <f t="shared" si="10"/>
        <v>-0.18237859437296655</v>
      </c>
      <c r="AB33" s="2">
        <f t="shared" si="11"/>
        <v>-0.86037519254209682</v>
      </c>
    </row>
    <row r="34" spans="1:28" x14ac:dyDescent="0.25">
      <c r="C34" s="2"/>
      <c r="D34" s="2"/>
      <c r="E34" s="2"/>
      <c r="M34" s="2"/>
      <c r="N34" s="2"/>
      <c r="O34" s="2"/>
      <c r="W34" s="2"/>
      <c r="X34" s="2"/>
      <c r="Y34" s="2"/>
    </row>
    <row r="35" spans="1:28" x14ac:dyDescent="0.25">
      <c r="C35" s="2">
        <f>AVERAGE(C22:C33)</f>
        <v>2.5001630150136749</v>
      </c>
      <c r="D35" s="2">
        <f>AVERAGE(D22:D33)</f>
        <v>2.6043512695981774</v>
      </c>
      <c r="E35" s="2">
        <f>AVERAGE(E22:E33)</f>
        <v>2.8058698993211806</v>
      </c>
      <c r="G35" s="2">
        <f>AVERAGE(G22:G33)</f>
        <v>-0.10418825458450282</v>
      </c>
      <c r="H35" s="2">
        <f>AVERAGE(H22:H33)</f>
        <v>-0.30570688430750581</v>
      </c>
      <c r="M35" s="2">
        <f>AVERAGE(M22:M33)</f>
        <v>2.422240787094236</v>
      </c>
      <c r="N35" s="2">
        <f>AVERAGE(N22:N33)</f>
        <v>2.5282189591477509</v>
      </c>
      <c r="O35" s="2">
        <f>AVERAGE(O22:O33)</f>
        <v>2.4962166949838789</v>
      </c>
      <c r="Q35" s="2">
        <f>AVERAGE(Q22:Q33)</f>
        <v>-0.10597817205351433</v>
      </c>
      <c r="R35" s="2">
        <f>AVERAGE(R22:R33)</f>
        <v>-7.3975907889642464E-2</v>
      </c>
      <c r="W35" s="2">
        <f>AVERAGE(W22:W33)</f>
        <v>1.9018044627496311</v>
      </c>
      <c r="X35" s="2">
        <f>AVERAGE(X22:X33)</f>
        <v>2.1195552673298792</v>
      </c>
      <c r="Y35" s="2">
        <f>AVERAGE(Y22:Y33)</f>
        <v>2.2613833001975467</v>
      </c>
      <c r="AA35" s="2">
        <f>AVERAGE(AA22:AA33)</f>
        <v>-0.21775080458024831</v>
      </c>
      <c r="AB35" s="2">
        <f>AVERAGE(AB22:AB33)</f>
        <v>-0.35957883744791569</v>
      </c>
    </row>
    <row r="36" spans="1:28" x14ac:dyDescent="0.25">
      <c r="C36" s="2">
        <f>STDEV(C22:C33)</f>
        <v>0.44383701118129587</v>
      </c>
      <c r="D36" s="2">
        <f>STDEV(D22:D33)</f>
        <v>0.62031861721003234</v>
      </c>
      <c r="E36" s="2">
        <f>STDEV(E22:E33)</f>
        <v>0.61990915937799307</v>
      </c>
      <c r="G36" s="2">
        <f>STDEV(G22:G33)</f>
        <v>0.72828070011193491</v>
      </c>
      <c r="H36" s="2">
        <f>STDEV(H22:H33)</f>
        <v>0.65933451001633647</v>
      </c>
      <c r="M36" s="2">
        <f>STDEV(M22:M33)</f>
        <v>0.48068623933181426</v>
      </c>
      <c r="N36" s="2">
        <f>STDEV(N22:N33)</f>
        <v>0.5182051725672554</v>
      </c>
      <c r="O36" s="2">
        <f>STDEV(O22:O33)</f>
        <v>0.64796699160724214</v>
      </c>
      <c r="Q36" s="2">
        <f>STDEV(Q22:Q33)</f>
        <v>0.45820823544177769</v>
      </c>
      <c r="R36" s="2">
        <f>STDEV(R22:R33)</f>
        <v>0.57803941343286613</v>
      </c>
      <c r="W36" s="2">
        <f>STDEV(W22:W33)</f>
        <v>0.42835878458233684</v>
      </c>
      <c r="X36" s="2">
        <f>STDEV(X22:X33)</f>
        <v>0.39806373224360947</v>
      </c>
      <c r="Y36" s="2">
        <f>STDEV(Y22:Y33)</f>
        <v>0.89912497825523496</v>
      </c>
      <c r="AA36" s="2">
        <f>STDEV(AA22:AA33)</f>
        <v>0.32827298502243479</v>
      </c>
      <c r="AB36" s="2">
        <f>STDEV(AB22:AB33)</f>
        <v>0.96471606611358895</v>
      </c>
    </row>
    <row r="40" spans="1:28" x14ac:dyDescent="0.25">
      <c r="A40" t="s">
        <v>17</v>
      </c>
      <c r="G40" t="s">
        <v>14</v>
      </c>
      <c r="H40" t="s">
        <v>15</v>
      </c>
      <c r="K40" t="s">
        <v>17</v>
      </c>
      <c r="Q40" t="s">
        <v>14</v>
      </c>
      <c r="R40" t="s">
        <v>15</v>
      </c>
      <c r="U40" t="s">
        <v>17</v>
      </c>
      <c r="AA40" t="s">
        <v>14</v>
      </c>
      <c r="AB40" t="s">
        <v>15</v>
      </c>
    </row>
    <row r="41" spans="1:28" x14ac:dyDescent="0.25">
      <c r="A41" s="1">
        <v>0.25</v>
      </c>
      <c r="B41" t="s">
        <v>1</v>
      </c>
      <c r="C41" t="s">
        <v>26</v>
      </c>
      <c r="D41" t="s">
        <v>27</v>
      </c>
      <c r="E41" t="s">
        <v>28</v>
      </c>
      <c r="G41" t="s">
        <v>13</v>
      </c>
      <c r="H41" t="s">
        <v>13</v>
      </c>
      <c r="J41" s="1"/>
      <c r="K41" s="1">
        <v>0.5</v>
      </c>
      <c r="L41" t="s">
        <v>1</v>
      </c>
      <c r="M41" t="s">
        <v>26</v>
      </c>
      <c r="N41" t="s">
        <v>27</v>
      </c>
      <c r="O41" t="s">
        <v>28</v>
      </c>
      <c r="Q41" t="s">
        <v>13</v>
      </c>
      <c r="R41" t="s">
        <v>13</v>
      </c>
      <c r="U41" s="1">
        <v>0.75</v>
      </c>
      <c r="V41" t="s">
        <v>1</v>
      </c>
      <c r="W41" t="s">
        <v>26</v>
      </c>
      <c r="X41" t="s">
        <v>27</v>
      </c>
      <c r="Y41" t="s">
        <v>28</v>
      </c>
      <c r="AA41" t="s">
        <v>13</v>
      </c>
      <c r="AB41" t="s">
        <v>13</v>
      </c>
    </row>
    <row r="42" spans="1:28" x14ac:dyDescent="0.25">
      <c r="B42">
        <v>1</v>
      </c>
      <c r="C42" s="2">
        <v>1.8945847335352799</v>
      </c>
      <c r="D42" s="2">
        <v>1.9790245315272399</v>
      </c>
      <c r="E42" s="2">
        <v>2.8219624988289933</v>
      </c>
      <c r="G42" s="2">
        <f>C42-D42</f>
        <v>-8.4439797991959997E-2</v>
      </c>
      <c r="H42" s="2">
        <f>C42-E42</f>
        <v>-0.92737776529371341</v>
      </c>
      <c r="J42" s="2"/>
      <c r="L42">
        <v>1</v>
      </c>
      <c r="M42" s="2">
        <v>1.8813881651492701</v>
      </c>
      <c r="N42" s="2">
        <v>1.8917311421940504</v>
      </c>
      <c r="O42" s="2">
        <v>2.5012098022182068</v>
      </c>
      <c r="Q42" s="2">
        <f>M42-N42</f>
        <v>-1.0342977044780266E-2</v>
      </c>
      <c r="R42" s="2">
        <f>M42-O42</f>
        <v>-0.61982163706893667</v>
      </c>
      <c r="V42">
        <v>1</v>
      </c>
      <c r="W42" s="2">
        <v>0.94948462201235018</v>
      </c>
      <c r="X42" s="2">
        <v>1.7957428006037033</v>
      </c>
      <c r="Y42" s="2">
        <v>2.8219624988289933</v>
      </c>
      <c r="AA42" s="2">
        <f>W42-X42</f>
        <v>-0.84625817859135311</v>
      </c>
      <c r="AB42" s="2">
        <f>W42-Y42</f>
        <v>-1.8724778768166432</v>
      </c>
    </row>
    <row r="43" spans="1:28" x14ac:dyDescent="0.25">
      <c r="B43">
        <v>2</v>
      </c>
      <c r="C43" s="2">
        <v>2.0820889598726797</v>
      </c>
      <c r="D43" s="2">
        <v>1.9036019103885966</v>
      </c>
      <c r="E43" s="2">
        <v>2.0657329552039498</v>
      </c>
      <c r="G43" s="2">
        <f t="shared" ref="G43:G53" si="12">C43-D43</f>
        <v>0.17848704948408312</v>
      </c>
      <c r="H43" s="2">
        <f t="shared" ref="H43:H53" si="13">C43-E43</f>
        <v>1.6356004668729884E-2</v>
      </c>
      <c r="J43" s="2"/>
      <c r="L43">
        <v>2</v>
      </c>
      <c r="M43" s="2">
        <v>2.2748285592347566</v>
      </c>
      <c r="N43" s="2">
        <v>1.9209328076936132</v>
      </c>
      <c r="O43" s="2">
        <v>1.8519514683543132</v>
      </c>
      <c r="Q43" s="2">
        <f t="shared" ref="Q43:Q53" si="14">M43-N43</f>
        <v>0.35389575154114339</v>
      </c>
      <c r="R43" s="2">
        <f t="shared" ref="R43:R53" si="15">M43-O43</f>
        <v>0.42287709088044334</v>
      </c>
      <c r="V43">
        <v>2</v>
      </c>
      <c r="W43" s="2">
        <v>1.5389764639873162</v>
      </c>
      <c r="X43" s="2">
        <v>2.0061468949563199</v>
      </c>
      <c r="Y43" s="2">
        <v>1.6607835161854867</v>
      </c>
      <c r="AA43" s="2">
        <f t="shared" ref="AA43:AA53" si="16">W43-X43</f>
        <v>-0.46717043096900368</v>
      </c>
      <c r="AB43" s="2">
        <f t="shared" ref="AB43:AB53" si="17">W43-Y43</f>
        <v>-0.12180705219817045</v>
      </c>
    </row>
    <row r="44" spans="1:28" x14ac:dyDescent="0.25">
      <c r="B44">
        <v>3</v>
      </c>
      <c r="C44" s="2">
        <v>2.4122833458596395</v>
      </c>
      <c r="D44" s="2">
        <v>2.3063965757208202</v>
      </c>
      <c r="E44" s="2">
        <v>3.4006748316430602</v>
      </c>
      <c r="G44" s="2">
        <f t="shared" si="12"/>
        <v>0.10588677013881931</v>
      </c>
      <c r="H44" s="2">
        <f t="shared" si="13"/>
        <v>-0.98839148578342062</v>
      </c>
      <c r="J44" s="2"/>
      <c r="L44">
        <v>3</v>
      </c>
      <c r="M44" s="2">
        <v>3.1818091125423233</v>
      </c>
      <c r="N44" s="2">
        <v>3.2005754699904299</v>
      </c>
      <c r="O44" s="2">
        <v>3.6344624750988097</v>
      </c>
      <c r="Q44" s="2">
        <f t="shared" si="14"/>
        <v>-1.8766357448106508E-2</v>
      </c>
      <c r="R44" s="2">
        <f t="shared" si="15"/>
        <v>-0.45265336255648636</v>
      </c>
      <c r="V44">
        <v>3</v>
      </c>
      <c r="W44" s="2">
        <v>2.8496113997514403</v>
      </c>
      <c r="X44" s="2">
        <v>2.6492893084691347</v>
      </c>
      <c r="Y44" s="2">
        <v>3.63952027131621</v>
      </c>
      <c r="AA44" s="2">
        <f t="shared" si="16"/>
        <v>0.2003220912823056</v>
      </c>
      <c r="AB44" s="2">
        <f t="shared" si="17"/>
        <v>-0.78990887156476974</v>
      </c>
    </row>
    <row r="45" spans="1:28" x14ac:dyDescent="0.25">
      <c r="B45">
        <v>4</v>
      </c>
      <c r="C45" s="2">
        <v>1.9874269487510299</v>
      </c>
      <c r="D45" s="2">
        <v>3.1606231415861634</v>
      </c>
      <c r="E45" s="2">
        <v>2.602319984031277</v>
      </c>
      <c r="G45" s="2">
        <f t="shared" si="12"/>
        <v>-1.1731961928351335</v>
      </c>
      <c r="H45" s="2">
        <f t="shared" si="13"/>
        <v>-0.61489303528024708</v>
      </c>
      <c r="J45" s="2"/>
      <c r="L45">
        <v>4</v>
      </c>
      <c r="M45" s="2">
        <v>2.3253974263165431</v>
      </c>
      <c r="N45" s="2">
        <v>3.22169055364395</v>
      </c>
      <c r="O45" s="2">
        <v>3.3487699995621103</v>
      </c>
      <c r="Q45" s="2">
        <f t="shared" si="14"/>
        <v>-0.89629312732740685</v>
      </c>
      <c r="R45" s="2">
        <f t="shared" si="15"/>
        <v>-1.0233725732455672</v>
      </c>
      <c r="V45">
        <v>4</v>
      </c>
      <c r="W45" s="2">
        <v>1.5457211718447899</v>
      </c>
      <c r="X45" s="2">
        <v>2.4031315763341063</v>
      </c>
      <c r="Y45" s="2">
        <v>2.1369118814285066</v>
      </c>
      <c r="AA45" s="2">
        <f t="shared" si="16"/>
        <v>-0.85741040448931649</v>
      </c>
      <c r="AB45" s="2">
        <f t="shared" si="17"/>
        <v>-0.59119070958371678</v>
      </c>
    </row>
    <row r="46" spans="1:28" x14ac:dyDescent="0.25">
      <c r="B46">
        <v>5</v>
      </c>
      <c r="C46" s="2">
        <v>2.4480024560011469</v>
      </c>
      <c r="D46" s="2">
        <v>2.8996825081946467</v>
      </c>
      <c r="E46" s="2">
        <v>2.638080880323777</v>
      </c>
      <c r="G46" s="2">
        <f t="shared" si="12"/>
        <v>-0.45168005219349983</v>
      </c>
      <c r="H46" s="2">
        <f t="shared" si="13"/>
        <v>-0.19007842432263011</v>
      </c>
      <c r="J46" s="2"/>
      <c r="L46">
        <v>5</v>
      </c>
      <c r="M46" s="2">
        <v>2.6506714769874402</v>
      </c>
      <c r="N46" s="2">
        <v>3.0670532825396735</v>
      </c>
      <c r="O46" s="2">
        <v>2.3535489833953065</v>
      </c>
      <c r="Q46" s="2">
        <f t="shared" si="14"/>
        <v>-0.41638180555223325</v>
      </c>
      <c r="R46" s="2">
        <f t="shared" si="15"/>
        <v>0.29712249359213372</v>
      </c>
      <c r="V46">
        <v>5</v>
      </c>
      <c r="W46" s="2">
        <v>2.1491186007488134</v>
      </c>
      <c r="X46" s="2">
        <v>2.2646541912881362</v>
      </c>
      <c r="Y46" s="2">
        <v>2.5078534152069705</v>
      </c>
      <c r="AA46" s="2">
        <f t="shared" si="16"/>
        <v>-0.11553559053932272</v>
      </c>
      <c r="AB46" s="2">
        <f t="shared" si="17"/>
        <v>-0.35873481445815703</v>
      </c>
    </row>
    <row r="47" spans="1:28" x14ac:dyDescent="0.25">
      <c r="B47">
        <v>6</v>
      </c>
      <c r="C47" s="2">
        <v>1.6330802440208136</v>
      </c>
      <c r="D47" s="2">
        <v>1.5241306260324197</v>
      </c>
      <c r="E47" s="2">
        <v>1.3824088911412666</v>
      </c>
      <c r="G47" s="2">
        <f t="shared" si="12"/>
        <v>0.10894961798839398</v>
      </c>
      <c r="H47" s="2">
        <f t="shared" si="13"/>
        <v>0.250671352879547</v>
      </c>
      <c r="J47" s="2"/>
      <c r="L47">
        <v>6</v>
      </c>
      <c r="M47" s="2">
        <v>1.7370077326456335</v>
      </c>
      <c r="N47" s="2">
        <v>2.2123675725089371</v>
      </c>
      <c r="O47" s="2">
        <v>1.78148181250056</v>
      </c>
      <c r="Q47" s="2">
        <f t="shared" si="14"/>
        <v>-0.47535983986330366</v>
      </c>
      <c r="R47" s="2">
        <f t="shared" si="15"/>
        <v>-4.4474079854926574E-2</v>
      </c>
      <c r="V47">
        <v>6</v>
      </c>
      <c r="W47" s="2">
        <v>2.282154344104983</v>
      </c>
      <c r="X47" s="2">
        <v>2.1721324055287399</v>
      </c>
      <c r="Y47" s="2">
        <v>2.3497657935100671</v>
      </c>
      <c r="AA47" s="2">
        <f t="shared" si="16"/>
        <v>0.11002193857624309</v>
      </c>
      <c r="AB47" s="2">
        <f t="shared" si="17"/>
        <v>-6.7611449405084123E-2</v>
      </c>
    </row>
    <row r="48" spans="1:28" x14ac:dyDescent="0.25">
      <c r="B48">
        <v>7</v>
      </c>
      <c r="C48" s="2">
        <v>2.8888503566332999</v>
      </c>
      <c r="D48" s="2">
        <v>3.0470896070718103</v>
      </c>
      <c r="E48" s="2">
        <v>3.6514591314339797</v>
      </c>
      <c r="G48" s="2">
        <f t="shared" si="12"/>
        <v>-0.15823925043851039</v>
      </c>
      <c r="H48" s="2">
        <f t="shared" si="13"/>
        <v>-0.76260877480067979</v>
      </c>
      <c r="J48" s="2"/>
      <c r="L48">
        <v>7</v>
      </c>
      <c r="M48" s="2">
        <v>3.097796557571507</v>
      </c>
      <c r="N48" s="2">
        <v>3.8390734582123409</v>
      </c>
      <c r="O48" s="2">
        <v>4.2566917041995662</v>
      </c>
      <c r="Q48" s="2">
        <f t="shared" si="14"/>
        <v>-0.74127690064083396</v>
      </c>
      <c r="R48" s="2">
        <f t="shared" si="15"/>
        <v>-1.1588951466280593</v>
      </c>
      <c r="V48">
        <v>7</v>
      </c>
      <c r="W48" s="2">
        <v>4.7122986792998507</v>
      </c>
      <c r="X48" s="2">
        <v>5.6725316163659203</v>
      </c>
      <c r="Y48" s="2">
        <v>5.4624683322387595</v>
      </c>
      <c r="AA48" s="2">
        <f t="shared" si="16"/>
        <v>-0.9602329370660696</v>
      </c>
      <c r="AB48" s="2">
        <f t="shared" si="17"/>
        <v>-0.7501696529389088</v>
      </c>
    </row>
    <row r="49" spans="1:29" x14ac:dyDescent="0.25">
      <c r="B49">
        <v>8</v>
      </c>
      <c r="C49" s="2">
        <v>1.99918059209406</v>
      </c>
      <c r="D49" s="2">
        <v>1.8647834776754131</v>
      </c>
      <c r="E49" s="2">
        <v>2.068677015888627</v>
      </c>
      <c r="G49" s="2">
        <f t="shared" si="12"/>
        <v>0.13439711441864688</v>
      </c>
      <c r="H49" s="2">
        <f t="shared" si="13"/>
        <v>-6.9496423794566997E-2</v>
      </c>
      <c r="J49" s="2"/>
      <c r="L49">
        <v>8</v>
      </c>
      <c r="M49" s="2">
        <v>2.1000990318951165</v>
      </c>
      <c r="N49" s="2">
        <v>2.8873033466173497</v>
      </c>
      <c r="O49" s="2">
        <v>2.1954534832012733</v>
      </c>
      <c r="Q49" s="2">
        <f t="shared" si="14"/>
        <v>-0.78720431472223318</v>
      </c>
      <c r="R49" s="2">
        <f t="shared" si="15"/>
        <v>-9.5354451306156829E-2</v>
      </c>
      <c r="V49">
        <v>8</v>
      </c>
      <c r="W49" s="2">
        <v>1.7267024708044834</v>
      </c>
      <c r="X49" s="2">
        <v>1.44713258641306</v>
      </c>
      <c r="Y49" s="2">
        <v>1.8135123052513233</v>
      </c>
      <c r="AA49" s="2">
        <f t="shared" si="16"/>
        <v>0.27956988439142338</v>
      </c>
      <c r="AB49" s="2">
        <f t="shared" si="17"/>
        <v>-8.6809834446839984E-2</v>
      </c>
    </row>
    <row r="50" spans="1:29" x14ac:dyDescent="0.25">
      <c r="B50">
        <v>9</v>
      </c>
      <c r="C50" s="2">
        <v>2.4418074381379666</v>
      </c>
      <c r="D50" s="2">
        <v>2.2275821972180236</v>
      </c>
      <c r="E50" s="2">
        <v>2.3442756879672766</v>
      </c>
      <c r="G50" s="2">
        <f t="shared" si="12"/>
        <v>0.21422524091994299</v>
      </c>
      <c r="H50" s="2">
        <f t="shared" si="13"/>
        <v>9.7531750170690046E-2</v>
      </c>
      <c r="J50" s="2"/>
      <c r="L50">
        <v>9</v>
      </c>
      <c r="M50" s="2">
        <v>3.2329846430711897</v>
      </c>
      <c r="N50" s="2">
        <v>3.11095913107944</v>
      </c>
      <c r="O50" s="2">
        <v>3.05681447782572</v>
      </c>
      <c r="Q50" s="2">
        <f t="shared" si="14"/>
        <v>0.12202551199174971</v>
      </c>
      <c r="R50" s="2">
        <f t="shared" si="15"/>
        <v>0.17617016524546969</v>
      </c>
      <c r="V50">
        <v>9</v>
      </c>
      <c r="W50" s="2">
        <v>2.1071460171774135</v>
      </c>
      <c r="X50" s="2">
        <v>3.1143247172003568</v>
      </c>
      <c r="Y50" s="2">
        <v>2.1569157946531168</v>
      </c>
      <c r="AA50" s="2">
        <f t="shared" si="16"/>
        <v>-1.0071787000229433</v>
      </c>
      <c r="AB50" s="2">
        <f t="shared" si="17"/>
        <v>-4.9769777475703325E-2</v>
      </c>
    </row>
    <row r="51" spans="1:29" x14ac:dyDescent="0.25">
      <c r="B51">
        <v>10</v>
      </c>
      <c r="C51" s="2">
        <v>2.5001951016580271</v>
      </c>
      <c r="D51" s="2">
        <v>3.1434081799992866</v>
      </c>
      <c r="E51" s="2">
        <v>3.2677840426410998</v>
      </c>
      <c r="G51" s="2">
        <f t="shared" si="12"/>
        <v>-0.64321307834125951</v>
      </c>
      <c r="H51" s="2">
        <f t="shared" si="13"/>
        <v>-0.76758894098307273</v>
      </c>
      <c r="J51" s="2"/>
      <c r="L51">
        <v>10</v>
      </c>
      <c r="M51" s="2">
        <v>2.77389662754989</v>
      </c>
      <c r="N51" s="2">
        <v>3.0907556153716533</v>
      </c>
      <c r="O51" s="2">
        <v>2.8440228235425162</v>
      </c>
      <c r="Q51" s="2">
        <f t="shared" si="14"/>
        <v>-0.31685898782176336</v>
      </c>
      <c r="R51" s="2">
        <f t="shared" si="15"/>
        <v>-7.0126195992626261E-2</v>
      </c>
      <c r="V51">
        <v>10</v>
      </c>
      <c r="W51" s="2">
        <v>1.6863440025778764</v>
      </c>
      <c r="X51" s="2">
        <v>2.3716220336059832</v>
      </c>
      <c r="Y51" s="2">
        <v>1.7177933566633206</v>
      </c>
      <c r="AA51" s="2">
        <f t="shared" si="16"/>
        <v>-0.6852780310281068</v>
      </c>
      <c r="AB51" s="2">
        <f t="shared" si="17"/>
        <v>-3.1449354085444137E-2</v>
      </c>
    </row>
    <row r="52" spans="1:29" x14ac:dyDescent="0.25">
      <c r="B52">
        <v>11</v>
      </c>
      <c r="C52" s="2">
        <v>3.0942718848784563</v>
      </c>
      <c r="D52" s="2">
        <v>3.5037163148616672</v>
      </c>
      <c r="E52" s="2">
        <v>3.1466253019699804</v>
      </c>
      <c r="G52" s="2">
        <f t="shared" si="12"/>
        <v>-0.40944442998321096</v>
      </c>
      <c r="H52" s="2">
        <f t="shared" si="13"/>
        <v>-5.2353417091524079E-2</v>
      </c>
      <c r="J52" s="2"/>
      <c r="L52">
        <v>11</v>
      </c>
      <c r="M52" s="2">
        <v>2.6710349448544233</v>
      </c>
      <c r="N52" s="2">
        <v>2.554264668538107</v>
      </c>
      <c r="O52" s="2">
        <v>3.4628373177712231</v>
      </c>
      <c r="Q52" s="2">
        <f t="shared" si="14"/>
        <v>0.11677027631631631</v>
      </c>
      <c r="R52" s="2">
        <f t="shared" si="15"/>
        <v>-0.79180237291679978</v>
      </c>
      <c r="V52">
        <v>11</v>
      </c>
      <c r="W52" s="2">
        <v>2.5488410179441265</v>
      </c>
      <c r="X52" s="2">
        <v>2.784289635782323</v>
      </c>
      <c r="Y52" s="2">
        <v>2.3897028621355938</v>
      </c>
      <c r="AA52" s="2">
        <f t="shared" si="16"/>
        <v>-0.23544861783819648</v>
      </c>
      <c r="AB52" s="2">
        <f t="shared" si="17"/>
        <v>0.15913815580853274</v>
      </c>
    </row>
    <row r="53" spans="1:29" x14ac:dyDescent="0.25">
      <c r="B53">
        <v>12</v>
      </c>
      <c r="C53" s="2">
        <v>2.4626508619073064</v>
      </c>
      <c r="D53" s="2">
        <v>2.2088970296684098</v>
      </c>
      <c r="E53" s="2">
        <v>3.0774258947509763</v>
      </c>
      <c r="G53" s="2">
        <f t="shared" si="12"/>
        <v>0.25375383223889658</v>
      </c>
      <c r="H53" s="2">
        <f t="shared" si="13"/>
        <v>-0.61477503284366986</v>
      </c>
      <c r="J53" s="2"/>
      <c r="L53">
        <v>12</v>
      </c>
      <c r="M53" s="2">
        <v>2.0017391294356268</v>
      </c>
      <c r="N53" s="2">
        <v>2.0995566161822632</v>
      </c>
      <c r="O53" s="2">
        <v>2.6909334751545466</v>
      </c>
      <c r="Q53" s="2">
        <f t="shared" si="14"/>
        <v>-9.7817486746636373E-2</v>
      </c>
      <c r="R53" s="2">
        <f t="shared" si="15"/>
        <v>-0.6891943457189198</v>
      </c>
      <c r="V53">
        <v>12</v>
      </c>
      <c r="W53" s="2">
        <v>1.4275112421536602</v>
      </c>
      <c r="X53" s="2">
        <v>1.3325911540521949</v>
      </c>
      <c r="Y53" s="2">
        <v>3.4227605787338251</v>
      </c>
      <c r="AA53" s="2">
        <f t="shared" si="16"/>
        <v>9.492008810146535E-2</v>
      </c>
      <c r="AB53" s="2">
        <f t="shared" si="17"/>
        <v>-1.9952493365801649</v>
      </c>
    </row>
    <row r="54" spans="1:29" x14ac:dyDescent="0.25">
      <c r="C54" s="2"/>
      <c r="D54" s="2"/>
      <c r="E54" s="2"/>
    </row>
    <row r="55" spans="1:29" x14ac:dyDescent="0.25">
      <c r="C55" s="2">
        <f>AVERAGE(C42:C53)</f>
        <v>2.3203685769458087</v>
      </c>
      <c r="D55" s="2">
        <f>AVERAGE(D42:D53)</f>
        <v>2.4807446749953752</v>
      </c>
      <c r="E55" s="2">
        <f>AVERAGE(E42:E53)</f>
        <v>2.7056189263186887</v>
      </c>
      <c r="F55" s="2"/>
      <c r="G55" s="2">
        <f>AVERAGE(G42:G53)</f>
        <v>-0.16037609804956596</v>
      </c>
      <c r="H55" s="2">
        <f>AVERAGE(H42:H53)</f>
        <v>-0.38525034937287983</v>
      </c>
      <c r="I55" s="2"/>
      <c r="J55" s="2"/>
      <c r="K55" s="2"/>
      <c r="L55" s="2"/>
      <c r="M55" s="2">
        <f>AVERAGE(M42:M53)</f>
        <v>2.4940544506044771</v>
      </c>
      <c r="N55" s="2">
        <f>AVERAGE(N42:N53)</f>
        <v>2.7580219720476506</v>
      </c>
      <c r="O55" s="2">
        <f>AVERAGE(O42:O53)</f>
        <v>2.8315148185686794</v>
      </c>
      <c r="P55" s="2"/>
      <c r="Q55" s="2">
        <f>AVERAGE(Q42:Q53)</f>
        <v>-0.26396752144317398</v>
      </c>
      <c r="R55" s="2">
        <f>AVERAGE(R42:R53)</f>
        <v>-0.33746036796420259</v>
      </c>
      <c r="S55" s="2"/>
      <c r="T55" s="2"/>
      <c r="U55" s="2"/>
      <c r="V55" s="2"/>
      <c r="W55" s="2">
        <f>AVERAGE(W42:W53)</f>
        <v>2.1269925027005923</v>
      </c>
      <c r="X55" s="2">
        <f>AVERAGE(X42:X53)</f>
        <v>2.5011324100499981</v>
      </c>
      <c r="Y55" s="2">
        <f>AVERAGE(Y42:Y53)</f>
        <v>2.6733292171793477</v>
      </c>
      <c r="Z55" s="2"/>
      <c r="AA55" s="2">
        <f>AVERAGE(AA42:AA53)</f>
        <v>-0.37413990734940628</v>
      </c>
      <c r="AB55" s="2">
        <f>AVERAGE(AB42:AB53)</f>
        <v>-0.54633671447875576</v>
      </c>
      <c r="AC55" s="2"/>
    </row>
    <row r="56" spans="1:29" x14ac:dyDescent="0.25">
      <c r="C56" s="2">
        <f>STDEV(C42:C53)</f>
        <v>0.41980644668914519</v>
      </c>
      <c r="D56" s="2">
        <f>STDEV(D42:D53)</f>
        <v>0.63901979389350028</v>
      </c>
      <c r="E56" s="2">
        <f>STDEV(E42:E53)</f>
        <v>0.65725626250868396</v>
      </c>
      <c r="F56" s="2"/>
      <c r="G56" s="2">
        <f>STDEV(G42:G53)</f>
        <v>0.43365062472349802</v>
      </c>
      <c r="H56" s="2">
        <f>STDEV(H42:H53)</f>
        <v>0.43683328512485675</v>
      </c>
      <c r="I56" s="2"/>
      <c r="J56" s="2"/>
      <c r="K56" s="2"/>
      <c r="L56" s="2"/>
      <c r="M56" s="2">
        <f>STDEV(M42:M53)</f>
        <v>0.51700638377973251</v>
      </c>
      <c r="N56" s="2">
        <f>STDEV(N42:N53)</f>
        <v>0.61430043482231178</v>
      </c>
      <c r="O56" s="2">
        <f>STDEV(O42:O53)</f>
        <v>0.75177940745321925</v>
      </c>
      <c r="P56" s="2"/>
      <c r="Q56" s="2">
        <f>STDEV(Q42:Q53)</f>
        <v>0.40451011467885289</v>
      </c>
      <c r="R56" s="2">
        <f>STDEV(R42:R53)</f>
        <v>0.52474409290025159</v>
      </c>
      <c r="S56" s="2"/>
      <c r="T56" s="2"/>
      <c r="U56" s="2"/>
      <c r="V56" s="2"/>
      <c r="W56" s="2">
        <f>STDEV(W42:W53)</f>
        <v>0.96872653924787688</v>
      </c>
      <c r="X56" s="2">
        <f>STDEV(X42:X53)</f>
        <v>1.1259515458977829</v>
      </c>
      <c r="Y56" s="2">
        <f>STDEV(Y42:Y53)</f>
        <v>1.0762345931417223</v>
      </c>
      <c r="Z56" s="2"/>
      <c r="AA56" s="2">
        <f>STDEV(AA42:AA53)</f>
        <v>0.48654956926027798</v>
      </c>
      <c r="AB56" s="2">
        <f>STDEV(AB42:AB53)</f>
        <v>0.71516244573464549</v>
      </c>
      <c r="AC56" s="2"/>
    </row>
    <row r="60" spans="1:29" x14ac:dyDescent="0.25">
      <c r="A60" t="s">
        <v>18</v>
      </c>
      <c r="G60" t="s">
        <v>14</v>
      </c>
      <c r="H60" t="s">
        <v>15</v>
      </c>
      <c r="K60" t="s">
        <v>18</v>
      </c>
      <c r="Q60" t="s">
        <v>14</v>
      </c>
      <c r="R60" t="s">
        <v>15</v>
      </c>
      <c r="U60" t="s">
        <v>18</v>
      </c>
      <c r="AA60" t="s">
        <v>14</v>
      </c>
      <c r="AB60" t="s">
        <v>15</v>
      </c>
    </row>
    <row r="61" spans="1:29" x14ac:dyDescent="0.25">
      <c r="A61" s="1">
        <v>0.25</v>
      </c>
      <c r="B61" t="s">
        <v>1</v>
      </c>
      <c r="C61" t="s">
        <v>26</v>
      </c>
      <c r="D61" t="s">
        <v>27</v>
      </c>
      <c r="E61" t="s">
        <v>28</v>
      </c>
      <c r="G61" t="s">
        <v>13</v>
      </c>
      <c r="H61" t="s">
        <v>13</v>
      </c>
      <c r="J61" s="1"/>
      <c r="K61" s="1">
        <v>0.5</v>
      </c>
      <c r="L61" t="s">
        <v>1</v>
      </c>
      <c r="M61" t="s">
        <v>26</v>
      </c>
      <c r="N61" t="s">
        <v>27</v>
      </c>
      <c r="O61" t="s">
        <v>28</v>
      </c>
      <c r="Q61" t="s">
        <v>13</v>
      </c>
      <c r="R61" t="s">
        <v>13</v>
      </c>
      <c r="U61" s="1">
        <v>0.75</v>
      </c>
      <c r="V61" t="s">
        <v>1</v>
      </c>
      <c r="W61" t="s">
        <v>26</v>
      </c>
      <c r="X61" t="s">
        <v>27</v>
      </c>
      <c r="Y61" t="s">
        <v>28</v>
      </c>
      <c r="AA61" t="s">
        <v>13</v>
      </c>
      <c r="AB61" t="s">
        <v>13</v>
      </c>
    </row>
    <row r="62" spans="1:29" x14ac:dyDescent="0.25">
      <c r="B62">
        <v>1</v>
      </c>
      <c r="C62" s="2">
        <v>2.2778278307893864</v>
      </c>
      <c r="D62" s="2">
        <v>1.8714063688933067</v>
      </c>
      <c r="E62" s="2">
        <v>2.7259368941540032</v>
      </c>
      <c r="G62" s="2">
        <f>C62-D62</f>
        <v>0.40642146189607975</v>
      </c>
      <c r="H62" s="2">
        <f>C62-E62</f>
        <v>-0.44810906336461676</v>
      </c>
      <c r="J62" s="2"/>
      <c r="L62">
        <v>1</v>
      </c>
      <c r="M62" s="2">
        <v>1.5321194423578732</v>
      </c>
      <c r="N62" s="2">
        <v>1.6357468554774799</v>
      </c>
      <c r="O62" s="2">
        <v>1.8597028549011967</v>
      </c>
      <c r="Q62" s="2">
        <f>M62-N62</f>
        <v>-0.10362741311960666</v>
      </c>
      <c r="R62" s="2">
        <f>M62-O62</f>
        <v>-0.32758341254332346</v>
      </c>
      <c r="V62">
        <v>1</v>
      </c>
      <c r="W62" s="2">
        <v>1.4003757602772167</v>
      </c>
      <c r="X62" s="2">
        <v>2.0505827948600532</v>
      </c>
      <c r="Y62" s="2">
        <v>2.4467177031947198</v>
      </c>
      <c r="AA62" s="2">
        <f>W62-X62</f>
        <v>-0.65020703458283657</v>
      </c>
      <c r="AB62" s="2">
        <f>W62-Y62</f>
        <v>-1.0463419429175032</v>
      </c>
    </row>
    <row r="63" spans="1:29" x14ac:dyDescent="0.25">
      <c r="B63">
        <v>2</v>
      </c>
      <c r="C63" s="2">
        <v>1.8439565010103964</v>
      </c>
      <c r="D63" s="2">
        <v>1.98535888106896</v>
      </c>
      <c r="E63" s="2">
        <v>1.9547347941121636</v>
      </c>
      <c r="G63" s="2">
        <f t="shared" ref="G63:G73" si="18">C63-D63</f>
        <v>-0.14140238005856354</v>
      </c>
      <c r="H63" s="2">
        <f t="shared" ref="H63:H73" si="19">C63-E63</f>
        <v>-0.11077829310176712</v>
      </c>
      <c r="J63" s="2"/>
      <c r="L63">
        <v>2</v>
      </c>
      <c r="M63" s="2">
        <v>2.1234688124290138</v>
      </c>
      <c r="N63" s="2">
        <v>1.8975661923104399</v>
      </c>
      <c r="O63" s="2">
        <v>1.5740075311930199</v>
      </c>
      <c r="Q63" s="2">
        <f t="shared" ref="Q63:Q73" si="20">M63-N63</f>
        <v>0.22590262011857387</v>
      </c>
      <c r="R63" s="2">
        <f t="shared" ref="R63:R73" si="21">M63-O63</f>
        <v>0.5494612812359938</v>
      </c>
      <c r="V63">
        <v>2</v>
      </c>
      <c r="W63" s="2">
        <v>1.2963430253909833</v>
      </c>
      <c r="X63" s="2">
        <v>1.3217013817104135</v>
      </c>
      <c r="Y63" s="2">
        <v>1.4097933707003101</v>
      </c>
      <c r="AA63" s="2">
        <f t="shared" ref="AA63:AA73" si="22">W63-X63</f>
        <v>-2.5358356319430175E-2</v>
      </c>
      <c r="AB63" s="2">
        <f t="shared" ref="AB63:AB73" si="23">W63-Y63</f>
        <v>-0.11345034530932674</v>
      </c>
    </row>
    <row r="64" spans="1:29" x14ac:dyDescent="0.25">
      <c r="B64">
        <v>3</v>
      </c>
      <c r="C64" s="2">
        <v>2.4938696033627266</v>
      </c>
      <c r="D64" s="2">
        <v>2.8027992007085634</v>
      </c>
      <c r="E64" s="2">
        <v>2.4679521211799735</v>
      </c>
      <c r="G64" s="2">
        <f t="shared" si="18"/>
        <v>-0.3089295973458368</v>
      </c>
      <c r="H64" s="2">
        <f t="shared" si="19"/>
        <v>2.5917482182753027E-2</v>
      </c>
      <c r="J64" s="2"/>
      <c r="L64">
        <v>3</v>
      </c>
      <c r="M64" s="2">
        <v>2.0612678722465834</v>
      </c>
      <c r="N64" s="2">
        <v>2.3507584493049052</v>
      </c>
      <c r="O64" s="2">
        <v>2.2557192375442749</v>
      </c>
      <c r="Q64" s="2">
        <f t="shared" si="20"/>
        <v>-0.28949057705832182</v>
      </c>
      <c r="R64" s="2">
        <f t="shared" si="21"/>
        <v>-0.19445136529769158</v>
      </c>
      <c r="V64">
        <v>3</v>
      </c>
      <c r="W64" s="2">
        <v>2.1425490174585948</v>
      </c>
      <c r="X64" s="2">
        <v>2.3967703124404198</v>
      </c>
      <c r="Y64" s="2">
        <v>2.5510365154026338</v>
      </c>
      <c r="AA64" s="2">
        <f t="shared" si="22"/>
        <v>-0.254221294981825</v>
      </c>
      <c r="AB64" s="2">
        <f t="shared" si="23"/>
        <v>-0.40848749794403894</v>
      </c>
    </row>
    <row r="65" spans="2:29" x14ac:dyDescent="0.25">
      <c r="B65">
        <v>4</v>
      </c>
      <c r="C65" s="2">
        <v>3.6688439169623699</v>
      </c>
      <c r="D65" s="2">
        <v>3.1200360877338298</v>
      </c>
      <c r="E65" s="2">
        <v>3.8837530578689634</v>
      </c>
      <c r="G65" s="2">
        <f t="shared" si="18"/>
        <v>0.5488078292285401</v>
      </c>
      <c r="H65" s="2">
        <f t="shared" si="19"/>
        <v>-0.21490914090659352</v>
      </c>
      <c r="J65" s="2"/>
      <c r="L65">
        <v>4</v>
      </c>
      <c r="M65" s="2">
        <v>3.6352370077386862</v>
      </c>
      <c r="N65" s="2">
        <v>3.5866685443019568</v>
      </c>
      <c r="O65" s="2">
        <v>3.8837530578689634</v>
      </c>
      <c r="Q65" s="2">
        <f t="shared" si="20"/>
        <v>4.8568463436729381E-2</v>
      </c>
      <c r="R65" s="2">
        <f t="shared" si="21"/>
        <v>-0.24851605013027722</v>
      </c>
      <c r="V65">
        <v>4</v>
      </c>
      <c r="W65" s="2">
        <v>2.4300998587680938</v>
      </c>
      <c r="X65" s="2">
        <v>3.1165360305404666</v>
      </c>
      <c r="Y65" s="2">
        <v>2.6773996683199264</v>
      </c>
      <c r="AA65" s="2">
        <f t="shared" si="22"/>
        <v>-0.68643617177237282</v>
      </c>
      <c r="AB65" s="2">
        <f t="shared" si="23"/>
        <v>-0.24729980955183262</v>
      </c>
    </row>
    <row r="66" spans="2:29" x14ac:dyDescent="0.25">
      <c r="B66">
        <v>5</v>
      </c>
      <c r="C66" s="2">
        <v>2.7737965739484336</v>
      </c>
      <c r="D66" s="2">
        <v>3.6592724506366672</v>
      </c>
      <c r="E66" s="2">
        <v>3.1792471825323498</v>
      </c>
      <c r="G66" s="2">
        <f t="shared" si="18"/>
        <v>-0.88547587668823358</v>
      </c>
      <c r="H66" s="2">
        <f t="shared" si="19"/>
        <v>-0.40545060858391624</v>
      </c>
      <c r="J66" s="2"/>
      <c r="L66">
        <v>5</v>
      </c>
      <c r="M66" s="2">
        <v>2.5539219255231904</v>
      </c>
      <c r="N66" s="2">
        <v>3.0841293370507668</v>
      </c>
      <c r="O66" s="2">
        <v>3.0820718261486002</v>
      </c>
      <c r="Q66" s="2">
        <f t="shared" si="20"/>
        <v>-0.53020741152757633</v>
      </c>
      <c r="R66" s="2">
        <f t="shared" si="21"/>
        <v>-0.52814990062540978</v>
      </c>
      <c r="V66">
        <v>5</v>
      </c>
      <c r="W66" s="2">
        <v>2.2135596476775268</v>
      </c>
      <c r="X66" s="2">
        <v>2.2443226734432065</v>
      </c>
      <c r="Y66" s="2">
        <v>2.4013652047341569</v>
      </c>
      <c r="AA66" s="2">
        <f t="shared" si="22"/>
        <v>-3.0763025765679686E-2</v>
      </c>
      <c r="AB66" s="2">
        <f t="shared" si="23"/>
        <v>-0.18780555705663016</v>
      </c>
    </row>
    <row r="67" spans="2:29" x14ac:dyDescent="0.25">
      <c r="B67">
        <v>6</v>
      </c>
      <c r="C67" s="2">
        <v>1.8715101532043932</v>
      </c>
      <c r="D67" s="2">
        <v>1.6844830917096136</v>
      </c>
      <c r="E67" s="2">
        <v>1.7125458472125963</v>
      </c>
      <c r="G67" s="2">
        <f t="shared" si="18"/>
        <v>0.18702706149477955</v>
      </c>
      <c r="H67" s="2">
        <f t="shared" si="19"/>
        <v>0.15896430599179689</v>
      </c>
      <c r="J67" s="2"/>
      <c r="L67">
        <v>6</v>
      </c>
      <c r="M67" s="2">
        <v>1.8773307377691302</v>
      </c>
      <c r="N67" s="2">
        <v>2.2742637156850329</v>
      </c>
      <c r="O67" s="2">
        <v>1.8152031512556466</v>
      </c>
      <c r="Q67" s="2">
        <f t="shared" si="20"/>
        <v>-0.39693297791590276</v>
      </c>
      <c r="R67" s="2">
        <f t="shared" si="21"/>
        <v>6.2127586513483601E-2</v>
      </c>
      <c r="V67">
        <v>6</v>
      </c>
      <c r="W67" s="2">
        <v>1.8814297283058901</v>
      </c>
      <c r="X67" s="2">
        <v>2.4601665482392399</v>
      </c>
      <c r="Y67" s="2">
        <v>1.9955105864032998</v>
      </c>
      <c r="AA67" s="2">
        <f t="shared" si="22"/>
        <v>-0.5787368199333498</v>
      </c>
      <c r="AB67" s="2">
        <f t="shared" si="23"/>
        <v>-0.11408085809740975</v>
      </c>
    </row>
    <row r="68" spans="2:29" x14ac:dyDescent="0.25">
      <c r="B68">
        <v>7</v>
      </c>
      <c r="C68" s="2">
        <v>3.2999981157701965</v>
      </c>
      <c r="D68" s="2">
        <v>2.6066904773833737</v>
      </c>
      <c r="E68" s="2">
        <v>4.2249343579890795</v>
      </c>
      <c r="G68" s="2">
        <f t="shared" si="18"/>
        <v>0.69330763838682286</v>
      </c>
      <c r="H68" s="2">
        <f t="shared" si="19"/>
        <v>-0.92493624221888293</v>
      </c>
      <c r="J68" s="2"/>
      <c r="L68">
        <v>7</v>
      </c>
      <c r="M68" s="2">
        <v>3.0869615254991967</v>
      </c>
      <c r="N68" s="2">
        <v>3.4601153839584233</v>
      </c>
      <c r="O68" s="2">
        <v>3.2605178840213069</v>
      </c>
      <c r="Q68" s="2">
        <f t="shared" si="20"/>
        <v>-0.37315385845922666</v>
      </c>
      <c r="R68" s="2">
        <f t="shared" si="21"/>
        <v>-0.17355635852211027</v>
      </c>
      <c r="V68">
        <v>7</v>
      </c>
      <c r="W68" s="2">
        <v>3.5161216294707267</v>
      </c>
      <c r="X68" s="2">
        <v>5.5283397942062802</v>
      </c>
      <c r="Y68" s="2">
        <v>3.5528104913421363</v>
      </c>
      <c r="AA68" s="2">
        <f t="shared" si="22"/>
        <v>-2.0122181647355535</v>
      </c>
      <c r="AB68" s="2">
        <f t="shared" si="23"/>
        <v>-3.6688861871409628E-2</v>
      </c>
    </row>
    <row r="69" spans="2:29" x14ac:dyDescent="0.25">
      <c r="B69">
        <v>8</v>
      </c>
      <c r="C69" s="2">
        <v>1.71753258265676</v>
      </c>
      <c r="D69" s="2">
        <v>1.4979050815733432</v>
      </c>
      <c r="E69" s="2">
        <v>1.7080704048320798</v>
      </c>
      <c r="G69" s="2">
        <f t="shared" si="18"/>
        <v>0.21962750108341678</v>
      </c>
      <c r="H69" s="2">
        <f t="shared" si="19"/>
        <v>9.4621778246801735E-3</v>
      </c>
      <c r="J69" s="2"/>
      <c r="L69">
        <v>8</v>
      </c>
      <c r="M69" s="2">
        <v>2.3623585800261333</v>
      </c>
      <c r="N69" s="2">
        <v>2.4368677048181131</v>
      </c>
      <c r="O69" s="2">
        <v>2.6629213089660304</v>
      </c>
      <c r="Q69" s="2">
        <f t="shared" si="20"/>
        <v>-7.4509124791979797E-2</v>
      </c>
      <c r="R69" s="2">
        <f t="shared" si="21"/>
        <v>-0.30056272893989711</v>
      </c>
      <c r="V69">
        <v>8</v>
      </c>
      <c r="W69" s="2">
        <v>1.7729031277004801</v>
      </c>
      <c r="X69" s="2">
        <v>2.5051811433128468</v>
      </c>
      <c r="Y69" s="2">
        <v>1.8445594794781635</v>
      </c>
      <c r="AA69" s="2">
        <f t="shared" si="22"/>
        <v>-0.73227801561236672</v>
      </c>
      <c r="AB69" s="2">
        <f t="shared" si="23"/>
        <v>-7.1656351777683369E-2</v>
      </c>
    </row>
    <row r="70" spans="2:29" x14ac:dyDescent="0.25">
      <c r="B70">
        <v>9</v>
      </c>
      <c r="C70" s="2">
        <v>2.9385367479803333</v>
      </c>
      <c r="D70" s="2">
        <v>3.6366890473674229</v>
      </c>
      <c r="E70" s="2">
        <v>3.1480460610137531</v>
      </c>
      <c r="G70" s="2">
        <f t="shared" si="18"/>
        <v>-0.69815229938708967</v>
      </c>
      <c r="H70" s="2">
        <f t="shared" si="19"/>
        <v>-0.2095093130334198</v>
      </c>
      <c r="J70" s="2"/>
      <c r="L70">
        <v>9</v>
      </c>
      <c r="M70" s="2">
        <v>2.4046019901389504</v>
      </c>
      <c r="N70" s="2">
        <v>3.394540727337783</v>
      </c>
      <c r="O70" s="2">
        <v>3.0083538557123637</v>
      </c>
      <c r="Q70" s="2">
        <f t="shared" si="20"/>
        <v>-0.98993873719883263</v>
      </c>
      <c r="R70" s="2">
        <f t="shared" si="21"/>
        <v>-0.60375186557341332</v>
      </c>
      <c r="V70">
        <v>9</v>
      </c>
      <c r="W70" s="2">
        <v>2.0738148953323052</v>
      </c>
      <c r="X70" s="2">
        <v>2.2342676646038599</v>
      </c>
      <c r="Y70" s="2">
        <v>2.4443654354594999</v>
      </c>
      <c r="AA70" s="2">
        <f t="shared" si="22"/>
        <v>-0.16045276927155472</v>
      </c>
      <c r="AB70" s="2">
        <f t="shared" si="23"/>
        <v>-0.37055054012719468</v>
      </c>
    </row>
    <row r="71" spans="2:29" x14ac:dyDescent="0.25">
      <c r="B71">
        <v>10</v>
      </c>
      <c r="C71" s="2">
        <v>3.4173147741463765</v>
      </c>
      <c r="D71" s="2">
        <v>3.9819725631613867</v>
      </c>
      <c r="E71" s="2">
        <v>3.3217596472658601</v>
      </c>
      <c r="G71" s="2">
        <f t="shared" si="18"/>
        <v>-0.56465778901501018</v>
      </c>
      <c r="H71" s="2">
        <f t="shared" si="19"/>
        <v>9.5555126880516372E-2</v>
      </c>
      <c r="J71" s="2"/>
      <c r="L71">
        <v>10</v>
      </c>
      <c r="M71" s="2">
        <v>3.6435264316301597</v>
      </c>
      <c r="N71" s="2">
        <v>4.6076439389369863</v>
      </c>
      <c r="O71" s="2">
        <v>4.2110660922465826</v>
      </c>
      <c r="Q71" s="2">
        <f t="shared" si="20"/>
        <v>-0.96411750730682666</v>
      </c>
      <c r="R71" s="2">
        <f t="shared" si="21"/>
        <v>-0.56753966061642291</v>
      </c>
      <c r="V71">
        <v>10</v>
      </c>
      <c r="W71" s="2">
        <v>2.2828855429815902</v>
      </c>
      <c r="X71" s="2">
        <v>2.5837765929081131</v>
      </c>
      <c r="Y71" s="2">
        <v>2.2284743153058035</v>
      </c>
      <c r="AA71" s="2">
        <f t="shared" si="22"/>
        <v>-0.30089104992652294</v>
      </c>
      <c r="AB71" s="2">
        <f t="shared" si="23"/>
        <v>5.4411227675786655E-2</v>
      </c>
    </row>
    <row r="72" spans="2:29" x14ac:dyDescent="0.25">
      <c r="B72">
        <v>11</v>
      </c>
      <c r="C72" s="2">
        <v>3.2641857583087663</v>
      </c>
      <c r="D72" s="2">
        <v>3.0447530860044032</v>
      </c>
      <c r="E72" s="2">
        <v>3.5301183616298499</v>
      </c>
      <c r="G72" s="2">
        <f t="shared" si="18"/>
        <v>0.21943267230436314</v>
      </c>
      <c r="H72" s="2">
        <f t="shared" si="19"/>
        <v>-0.26593260332108359</v>
      </c>
      <c r="J72" s="2"/>
      <c r="L72">
        <v>11</v>
      </c>
      <c r="M72" s="2">
        <v>2.5319708738230902</v>
      </c>
      <c r="N72" s="2">
        <v>3.6717413292311569</v>
      </c>
      <c r="O72" s="2">
        <v>2.9077558413116202</v>
      </c>
      <c r="Q72" s="2">
        <f t="shared" si="20"/>
        <v>-1.1397704554080668</v>
      </c>
      <c r="R72" s="2">
        <f t="shared" si="21"/>
        <v>-0.37578496748853008</v>
      </c>
      <c r="V72">
        <v>11</v>
      </c>
      <c r="W72" s="2">
        <v>2.0825957892306652</v>
      </c>
      <c r="X72" s="2">
        <v>2.1822774966591534</v>
      </c>
      <c r="Y72" s="2">
        <v>2.5536806745660803</v>
      </c>
      <c r="AA72" s="2">
        <f t="shared" si="22"/>
        <v>-9.9681707428488142E-2</v>
      </c>
      <c r="AB72" s="2">
        <f t="shared" si="23"/>
        <v>-0.47108488533541504</v>
      </c>
    </row>
    <row r="73" spans="2:29" x14ac:dyDescent="0.25">
      <c r="B73">
        <v>12</v>
      </c>
      <c r="C73" s="2">
        <v>1.9770283644327435</v>
      </c>
      <c r="D73" s="2">
        <v>2.3632157866112067</v>
      </c>
      <c r="E73" s="2">
        <v>2.1706068166196202</v>
      </c>
      <c r="G73" s="2">
        <f t="shared" si="18"/>
        <v>-0.38618742217846314</v>
      </c>
      <c r="H73" s="2">
        <f t="shared" si="19"/>
        <v>-0.19357845218687664</v>
      </c>
      <c r="J73" s="2"/>
      <c r="L73">
        <v>12</v>
      </c>
      <c r="M73" s="2">
        <v>1.7867433915036333</v>
      </c>
      <c r="N73" s="2">
        <v>1.9488526127820767</v>
      </c>
      <c r="O73" s="2">
        <v>2.039682791421463</v>
      </c>
      <c r="Q73" s="2">
        <f t="shared" si="20"/>
        <v>-0.16210922127844341</v>
      </c>
      <c r="R73" s="2">
        <f t="shared" si="21"/>
        <v>-0.25293939991782977</v>
      </c>
      <c r="V73">
        <v>12</v>
      </c>
      <c r="W73" s="2">
        <v>1.3706225476242835</v>
      </c>
      <c r="X73" s="2">
        <v>1.6855509886065534</v>
      </c>
      <c r="Y73" s="2">
        <v>1.4260184446205966</v>
      </c>
      <c r="AA73" s="2">
        <f t="shared" si="22"/>
        <v>-0.31492844098226991</v>
      </c>
      <c r="AB73" s="2">
        <f t="shared" si="23"/>
        <v>-5.5395896996313088E-2</v>
      </c>
    </row>
    <row r="74" spans="2:29" x14ac:dyDescent="0.25">
      <c r="C74" s="2"/>
      <c r="D74" s="2"/>
      <c r="E74" s="2"/>
      <c r="M74" s="2"/>
      <c r="N74" s="2"/>
      <c r="O74" s="2"/>
      <c r="T74" s="5"/>
      <c r="W74" s="2"/>
      <c r="X74" s="2"/>
      <c r="Y74" s="2"/>
    </row>
    <row r="75" spans="2:29" x14ac:dyDescent="0.25">
      <c r="C75" s="2">
        <f>AVERAGE(C62:C73)</f>
        <v>2.6287000768810738</v>
      </c>
      <c r="D75" s="2">
        <f>AVERAGE(D62:D73)</f>
        <v>2.6878818435710059</v>
      </c>
      <c r="E75" s="2">
        <f>AVERAGE(E62:E73)</f>
        <v>2.8356421288675242</v>
      </c>
      <c r="F75" s="2"/>
      <c r="G75" s="2">
        <f>AVERAGE(G62:G73)</f>
        <v>-5.9181766689932892E-2</v>
      </c>
      <c r="H75" s="2">
        <f>AVERAGE(H62:H73)</f>
        <v>-0.20694205198645088</v>
      </c>
      <c r="I75" s="2"/>
      <c r="J75" s="2"/>
      <c r="K75" s="2"/>
      <c r="L75" s="2"/>
      <c r="M75" s="2">
        <f>AVERAGE(M62:M73)</f>
        <v>2.4666257158904701</v>
      </c>
      <c r="N75" s="2">
        <f>AVERAGE(N62:N73)</f>
        <v>2.8624078992662603</v>
      </c>
      <c r="O75" s="2">
        <f>AVERAGE(O62:O73)</f>
        <v>2.7133962860492553</v>
      </c>
      <c r="P75" s="2"/>
      <c r="Q75" s="2">
        <f>AVERAGE(Q62:Q73)</f>
        <v>-0.39578218337579002</v>
      </c>
      <c r="R75" s="2">
        <f>AVERAGE(R62:R73)</f>
        <v>-0.24677057015878567</v>
      </c>
      <c r="S75" s="2"/>
      <c r="T75" s="5"/>
      <c r="U75" s="2"/>
      <c r="V75" s="2"/>
      <c r="W75" s="2">
        <f>AVERAGE(W62:W73)</f>
        <v>2.0386083808515294</v>
      </c>
      <c r="X75" s="2">
        <f>AVERAGE(X62:X73)</f>
        <v>2.5257894517942172</v>
      </c>
      <c r="Y75" s="2">
        <f>AVERAGE(Y62:Y73)</f>
        <v>2.2943109907939441</v>
      </c>
      <c r="Z75" s="2"/>
      <c r="AA75" s="2">
        <f>AVERAGE(AA62:AA73)</f>
        <v>-0.48718107094268753</v>
      </c>
      <c r="AB75" s="2">
        <f>AVERAGE(AB62:AB73)</f>
        <v>-0.25570260994241423</v>
      </c>
      <c r="AC75" s="2"/>
    </row>
    <row r="76" spans="2:29" x14ac:dyDescent="0.25">
      <c r="C76" s="2">
        <f>STDEV(C62:C73)</f>
        <v>0.69155286964967833</v>
      </c>
      <c r="D76" s="2">
        <f>STDEV(D62:D73)</f>
        <v>0.82796851800087612</v>
      </c>
      <c r="E76" s="2">
        <f>STDEV(E62:E73)</f>
        <v>0.84537252018000464</v>
      </c>
      <c r="F76" s="2"/>
      <c r="G76" s="2">
        <f>STDEV(G62:G73)</f>
        <v>0.51268239631253409</v>
      </c>
      <c r="H76" s="2">
        <f>STDEV(H62:H73)</f>
        <v>0.2942641354906077</v>
      </c>
      <c r="I76" s="2"/>
      <c r="J76" s="2"/>
      <c r="K76" s="2"/>
      <c r="L76" s="2"/>
      <c r="M76" s="2">
        <f>STDEV(M62:M73)</f>
        <v>0.68271220625111606</v>
      </c>
      <c r="N76" s="2">
        <f>STDEV(N62:N73)</f>
        <v>0.90322584468741485</v>
      </c>
      <c r="O76" s="2">
        <f>STDEV(O62:O73)</f>
        <v>0.83516166734077946</v>
      </c>
      <c r="P76" s="2"/>
      <c r="Q76" s="2">
        <f>STDEV(Q62:Q73)</f>
        <v>0.43552897264477775</v>
      </c>
      <c r="R76" s="2">
        <f>STDEV(R62:R73)</f>
        <v>0.31233923317104151</v>
      </c>
      <c r="S76" s="2"/>
      <c r="T76" s="6"/>
      <c r="U76" s="2"/>
      <c r="V76" s="2"/>
      <c r="W76" s="2">
        <f>STDEV(W62:W73)</f>
        <v>0.59851152652130846</v>
      </c>
      <c r="X76" s="2">
        <f>STDEV(X62:X73)</f>
        <v>1.0467650895235687</v>
      </c>
      <c r="Y76" s="2">
        <f>STDEV(Y62:Y73)</f>
        <v>0.58412010284901938</v>
      </c>
      <c r="Z76" s="2"/>
      <c r="AA76" s="2">
        <f>STDEV(AA62:AA73)</f>
        <v>0.54419441330094176</v>
      </c>
      <c r="AB76" s="2">
        <f>STDEV(AB62:AB73)</f>
        <v>0.29712865459964299</v>
      </c>
      <c r="AC76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66D30-A5A2-43EA-90BF-57FBC47BBB1B}">
  <dimension ref="A1:AL76"/>
  <sheetViews>
    <sheetView workbookViewId="0"/>
  </sheetViews>
  <sheetFormatPr defaultRowHeight="15" x14ac:dyDescent="0.25"/>
  <sheetData>
    <row r="1" spans="1:38" x14ac:dyDescent="0.25">
      <c r="A1" t="s">
        <v>0</v>
      </c>
      <c r="G1" t="s">
        <v>14</v>
      </c>
      <c r="H1" t="s">
        <v>15</v>
      </c>
      <c r="K1" t="s">
        <v>0</v>
      </c>
      <c r="Q1" t="s">
        <v>14</v>
      </c>
      <c r="R1" t="s">
        <v>15</v>
      </c>
      <c r="U1" t="s">
        <v>0</v>
      </c>
      <c r="AA1" t="s">
        <v>14</v>
      </c>
      <c r="AB1" t="s">
        <v>15</v>
      </c>
    </row>
    <row r="2" spans="1:38" x14ac:dyDescent="0.25">
      <c r="A2" s="1">
        <v>0.25</v>
      </c>
      <c r="B2" t="s">
        <v>1</v>
      </c>
      <c r="C2" t="s">
        <v>29</v>
      </c>
      <c r="D2" t="s">
        <v>30</v>
      </c>
      <c r="E2" t="s">
        <v>31</v>
      </c>
      <c r="G2" t="s">
        <v>13</v>
      </c>
      <c r="H2" t="s">
        <v>13</v>
      </c>
      <c r="J2" s="1"/>
      <c r="K2" s="1">
        <v>0.5</v>
      </c>
      <c r="L2" t="s">
        <v>1</v>
      </c>
      <c r="M2" t="s">
        <v>29</v>
      </c>
      <c r="N2" t="s">
        <v>30</v>
      </c>
      <c r="O2" t="s">
        <v>31</v>
      </c>
      <c r="Q2" t="s">
        <v>13</v>
      </c>
      <c r="R2" t="s">
        <v>13</v>
      </c>
      <c r="U2" s="1">
        <v>0.75</v>
      </c>
      <c r="V2" t="s">
        <v>1</v>
      </c>
      <c r="W2" t="s">
        <v>29</v>
      </c>
      <c r="X2" t="s">
        <v>30</v>
      </c>
      <c r="Y2" t="s">
        <v>31</v>
      </c>
      <c r="AA2" t="s">
        <v>13</v>
      </c>
      <c r="AB2" t="s">
        <v>13</v>
      </c>
      <c r="AE2" s="1"/>
    </row>
    <row r="3" spans="1:38" x14ac:dyDescent="0.25">
      <c r="B3">
        <v>1</v>
      </c>
      <c r="C3" s="2">
        <v>0.71972358388527935</v>
      </c>
      <c r="D3" s="2">
        <v>0.63276351982661738</v>
      </c>
      <c r="E3" s="2">
        <v>0.65322922939477024</v>
      </c>
      <c r="G3" s="2">
        <f>C3-D3</f>
        <v>8.6960064058661968E-2</v>
      </c>
      <c r="H3" s="2">
        <f>C3-E3</f>
        <v>6.6494354490509111E-2</v>
      </c>
      <c r="J3" s="2"/>
      <c r="L3">
        <v>1</v>
      </c>
      <c r="M3" s="2">
        <v>0.55330597203439158</v>
      </c>
      <c r="N3" s="2">
        <v>0.52781917367856401</v>
      </c>
      <c r="O3" s="2">
        <v>0.52283873172298156</v>
      </c>
      <c r="Q3" s="2">
        <f>M3-N3</f>
        <v>2.5486798355827567E-2</v>
      </c>
      <c r="R3" s="2">
        <f>M3-O3</f>
        <v>3.0467240311410015E-2</v>
      </c>
      <c r="V3">
        <v>1</v>
      </c>
      <c r="W3" s="2">
        <v>0.47888403587444767</v>
      </c>
      <c r="X3" s="2">
        <v>0.35963531399481902</v>
      </c>
      <c r="Y3" s="2">
        <v>0.45216637714267305</v>
      </c>
      <c r="AA3" s="2">
        <f>W3-X3</f>
        <v>0.11924872187962865</v>
      </c>
      <c r="AB3" s="2">
        <f>W3-Y3</f>
        <v>2.6717658731774618E-2</v>
      </c>
      <c r="AK3" s="2"/>
      <c r="AL3" s="2"/>
    </row>
    <row r="4" spans="1:38" x14ac:dyDescent="0.25">
      <c r="B4">
        <v>2</v>
      </c>
      <c r="C4" s="2">
        <v>0.65681379714398924</v>
      </c>
      <c r="D4" s="2">
        <v>0.63077826002955939</v>
      </c>
      <c r="E4" s="2">
        <v>0.61425976403884697</v>
      </c>
      <c r="G4" s="2">
        <f t="shared" ref="G4:G14" si="0">C4-D4</f>
        <v>2.6035537114429852E-2</v>
      </c>
      <c r="H4" s="2">
        <f t="shared" ref="H4:H14" si="1">C4-E4</f>
        <v>4.2554033105142275E-2</v>
      </c>
      <c r="J4" s="2"/>
      <c r="L4">
        <v>2</v>
      </c>
      <c r="M4" s="2">
        <v>0.51429960128831398</v>
      </c>
      <c r="N4" s="2">
        <v>0.50435756637924956</v>
      </c>
      <c r="O4" s="2">
        <v>0.53623325533932331</v>
      </c>
      <c r="Q4" s="2">
        <f t="shared" ref="Q4:Q14" si="2">M4-N4</f>
        <v>9.9420349090644233E-3</v>
      </c>
      <c r="R4" s="2">
        <f t="shared" ref="R4:R14" si="3">M4-O4</f>
        <v>-2.1933654051009333E-2</v>
      </c>
      <c r="V4">
        <v>2</v>
      </c>
      <c r="W4" s="2">
        <v>0.48270618397137199</v>
      </c>
      <c r="X4" s="2">
        <v>0.41281979720807932</v>
      </c>
      <c r="Y4" s="2">
        <v>0.43142652972606027</v>
      </c>
      <c r="AA4" s="2">
        <f t="shared" ref="AA4:AA14" si="4">W4-X4</f>
        <v>6.9886386763292674E-2</v>
      </c>
      <c r="AB4" s="2">
        <f t="shared" ref="AB4:AB14" si="5">W4-Y4</f>
        <v>5.1279654245311723E-2</v>
      </c>
      <c r="AK4" s="2"/>
      <c r="AL4" s="2"/>
    </row>
    <row r="5" spans="1:38" x14ac:dyDescent="0.25">
      <c r="B5">
        <v>3</v>
      </c>
      <c r="C5" s="2">
        <v>0.47497724414321896</v>
      </c>
      <c r="D5" s="2">
        <v>0.42741317679227303</v>
      </c>
      <c r="E5" s="2">
        <v>0.50338939425451568</v>
      </c>
      <c r="G5" s="2">
        <f t="shared" si="0"/>
        <v>4.7564067350945927E-2</v>
      </c>
      <c r="H5" s="2">
        <f t="shared" si="1"/>
        <v>-2.8412150111296719E-2</v>
      </c>
      <c r="J5" s="2"/>
      <c r="L5">
        <v>3</v>
      </c>
      <c r="M5" s="2">
        <v>0.21474303995585631</v>
      </c>
      <c r="N5" s="2">
        <v>0.2653154711085205</v>
      </c>
      <c r="O5" s="2">
        <v>0.44574575360732566</v>
      </c>
      <c r="Q5" s="2">
        <f t="shared" si="2"/>
        <v>-5.0572431152664188E-2</v>
      </c>
      <c r="R5" s="2">
        <f t="shared" si="3"/>
        <v>-0.23100271365146935</v>
      </c>
      <c r="V5">
        <v>3</v>
      </c>
      <c r="W5" s="2">
        <v>0.31713137171625333</v>
      </c>
      <c r="X5" s="2">
        <v>0.239427954400521</v>
      </c>
      <c r="Y5" s="2">
        <v>0.35227361614582836</v>
      </c>
      <c r="AA5" s="2">
        <f t="shared" si="4"/>
        <v>7.7703417315732326E-2</v>
      </c>
      <c r="AB5" s="2">
        <f t="shared" si="5"/>
        <v>-3.5142244429575031E-2</v>
      </c>
      <c r="AK5" s="2"/>
      <c r="AL5" s="2"/>
    </row>
    <row r="6" spans="1:38" x14ac:dyDescent="0.25">
      <c r="B6">
        <v>4</v>
      </c>
      <c r="C6" s="2">
        <v>0.57533990037359162</v>
      </c>
      <c r="D6" s="2">
        <v>0.5643717178194243</v>
      </c>
      <c r="E6" s="2">
        <v>0.52137593744494271</v>
      </c>
      <c r="G6" s="2">
        <f t="shared" si="0"/>
        <v>1.0968182554167316E-2</v>
      </c>
      <c r="H6" s="2">
        <f t="shared" si="1"/>
        <v>5.3963962928648912E-2</v>
      </c>
      <c r="J6" s="2"/>
      <c r="L6">
        <v>4</v>
      </c>
      <c r="M6" s="2">
        <v>0.22442363631852999</v>
      </c>
      <c r="N6" s="2">
        <v>0.33206449580188396</v>
      </c>
      <c r="O6" s="2">
        <v>0.338467257745243</v>
      </c>
      <c r="Q6" s="2">
        <f t="shared" si="2"/>
        <v>-0.10764085948335397</v>
      </c>
      <c r="R6" s="2">
        <f t="shared" si="3"/>
        <v>-0.11404362142671301</v>
      </c>
      <c r="V6">
        <v>4</v>
      </c>
      <c r="W6" s="2">
        <v>0.23871507962777763</v>
      </c>
      <c r="X6" s="2">
        <v>0.21326543195853265</v>
      </c>
      <c r="Y6" s="2">
        <v>0.324283052084401</v>
      </c>
      <c r="AA6" s="2">
        <f t="shared" si="4"/>
        <v>2.5449647669244985E-2</v>
      </c>
      <c r="AB6" s="2">
        <f t="shared" si="5"/>
        <v>-8.556797245662337E-2</v>
      </c>
      <c r="AK6" s="2"/>
      <c r="AL6" s="2"/>
    </row>
    <row r="7" spans="1:38" x14ac:dyDescent="0.25">
      <c r="B7">
        <v>5</v>
      </c>
      <c r="C7" s="2">
        <v>0.42182548857652802</v>
      </c>
      <c r="D7" s="2">
        <v>0.41982233030424365</v>
      </c>
      <c r="E7" s="2">
        <v>0.52461117300150906</v>
      </c>
      <c r="G7" s="2">
        <f t="shared" si="0"/>
        <v>2.0031582722843666E-3</v>
      </c>
      <c r="H7" s="2">
        <f t="shared" si="1"/>
        <v>-0.10278568442498104</v>
      </c>
      <c r="J7" s="2"/>
      <c r="L7">
        <v>5</v>
      </c>
      <c r="M7" s="2">
        <v>0.4357209004783445</v>
      </c>
      <c r="N7" s="2">
        <v>0.30061769591071602</v>
      </c>
      <c r="O7" s="2">
        <v>0.3153576427641957</v>
      </c>
      <c r="Q7" s="2">
        <f t="shared" si="2"/>
        <v>0.13510320456762848</v>
      </c>
      <c r="R7" s="2">
        <f t="shared" si="3"/>
        <v>0.1203632577141488</v>
      </c>
      <c r="V7">
        <v>5</v>
      </c>
      <c r="W7" s="2">
        <v>0.36589499396130698</v>
      </c>
      <c r="X7" s="2">
        <v>0.327155607100585</v>
      </c>
      <c r="Y7" s="2">
        <v>0.244292376395713</v>
      </c>
      <c r="AA7" s="2">
        <f t="shared" si="4"/>
        <v>3.873938686072198E-2</v>
      </c>
      <c r="AB7" s="2">
        <f t="shared" si="5"/>
        <v>0.12160261756559398</v>
      </c>
      <c r="AK7" s="2"/>
      <c r="AL7" s="2"/>
    </row>
    <row r="8" spans="1:38" x14ac:dyDescent="0.25">
      <c r="B8">
        <v>6</v>
      </c>
      <c r="C8" s="2">
        <v>0.596468687011805</v>
      </c>
      <c r="D8" s="2">
        <v>0.59975887531827465</v>
      </c>
      <c r="E8" s="2">
        <v>0.57489424536028133</v>
      </c>
      <c r="G8" s="2">
        <f t="shared" si="0"/>
        <v>-3.2901883064696547E-3</v>
      </c>
      <c r="H8" s="2">
        <f t="shared" si="1"/>
        <v>2.1574441651523668E-2</v>
      </c>
      <c r="J8" s="2"/>
      <c r="L8">
        <v>6</v>
      </c>
      <c r="M8" s="2">
        <v>0.49126936295554841</v>
      </c>
      <c r="N8" s="2">
        <v>0.38919501687171548</v>
      </c>
      <c r="O8" s="2">
        <v>0.45095516727215901</v>
      </c>
      <c r="Q8" s="2">
        <f t="shared" si="2"/>
        <v>0.10207434608383292</v>
      </c>
      <c r="R8" s="2">
        <f t="shared" si="3"/>
        <v>4.0314195683389398E-2</v>
      </c>
      <c r="V8">
        <v>6</v>
      </c>
      <c r="W8" s="2">
        <v>0.40443030228217641</v>
      </c>
      <c r="X8" s="2">
        <v>0.30671530331306035</v>
      </c>
      <c r="Y8" s="2">
        <v>0.42024142797011405</v>
      </c>
      <c r="AA8" s="2">
        <f t="shared" si="4"/>
        <v>9.7714998969116063E-2</v>
      </c>
      <c r="AB8" s="2">
        <f t="shared" si="5"/>
        <v>-1.5811125687937633E-2</v>
      </c>
      <c r="AK8" s="2"/>
      <c r="AL8" s="2"/>
    </row>
    <row r="9" spans="1:38" x14ac:dyDescent="0.25">
      <c r="B9">
        <v>7</v>
      </c>
      <c r="C9" s="2">
        <v>0.53455878534450141</v>
      </c>
      <c r="D9" s="2">
        <v>0.66204619623731997</v>
      </c>
      <c r="E9" s="2">
        <v>0.53092929991687166</v>
      </c>
      <c r="G9" s="2">
        <f t="shared" si="0"/>
        <v>-0.12748741089281856</v>
      </c>
      <c r="H9" s="2">
        <f t="shared" si="1"/>
        <v>3.6294854276297528E-3</v>
      </c>
      <c r="J9" s="2"/>
      <c r="L9">
        <v>7</v>
      </c>
      <c r="M9" s="2">
        <v>0.31785695489439464</v>
      </c>
      <c r="N9" s="2">
        <v>0.34002577610593027</v>
      </c>
      <c r="O9" s="2">
        <v>0.39156706458378338</v>
      </c>
      <c r="Q9" s="2">
        <f t="shared" si="2"/>
        <v>-2.2168821211535628E-2</v>
      </c>
      <c r="R9" s="2">
        <f t="shared" si="3"/>
        <v>-7.3710109689388736E-2</v>
      </c>
      <c r="V9">
        <v>7</v>
      </c>
      <c r="W9" s="2">
        <v>0.277143717013771</v>
      </c>
      <c r="X9" s="2">
        <v>0.21350720284250499</v>
      </c>
      <c r="Y9" s="2">
        <v>0.13294502500239999</v>
      </c>
      <c r="AA9" s="2">
        <f t="shared" si="4"/>
        <v>6.3636514171266007E-2</v>
      </c>
      <c r="AB9" s="2">
        <f t="shared" si="5"/>
        <v>0.144198692011371</v>
      </c>
      <c r="AG9" s="3"/>
      <c r="AK9" s="2"/>
      <c r="AL9" s="2"/>
    </row>
    <row r="10" spans="1:38" x14ac:dyDescent="0.25">
      <c r="B10">
        <v>8</v>
      </c>
      <c r="C10" s="2">
        <v>0.65709019629694332</v>
      </c>
      <c r="D10" s="2">
        <v>0.65215291132810738</v>
      </c>
      <c r="E10" s="2">
        <v>0.61381597051044035</v>
      </c>
      <c r="G10" s="2">
        <f t="shared" si="0"/>
        <v>4.9372849688359421E-3</v>
      </c>
      <c r="H10" s="2">
        <f t="shared" si="1"/>
        <v>4.3274225786502973E-2</v>
      </c>
      <c r="J10" s="2"/>
      <c r="L10">
        <v>8</v>
      </c>
      <c r="M10" s="2">
        <v>0.43014281411364097</v>
      </c>
      <c r="N10" s="2">
        <v>0.43720548775163165</v>
      </c>
      <c r="O10" s="2">
        <v>0.47755960284626831</v>
      </c>
      <c r="Q10" s="2">
        <f t="shared" si="2"/>
        <v>-7.0626736379906796E-3</v>
      </c>
      <c r="R10" s="2">
        <f t="shared" si="3"/>
        <v>-4.7416788732627335E-2</v>
      </c>
      <c r="V10">
        <v>8</v>
      </c>
      <c r="W10" s="2">
        <v>0.42777156137223665</v>
      </c>
      <c r="X10" s="2">
        <v>0.39215777149836967</v>
      </c>
      <c r="Y10" s="2">
        <v>0.50594994488858169</v>
      </c>
      <c r="AA10" s="2">
        <f t="shared" si="4"/>
        <v>3.5613789873866986E-2</v>
      </c>
      <c r="AB10" s="2">
        <f t="shared" si="5"/>
        <v>-7.817838351634504E-2</v>
      </c>
      <c r="AK10" s="2"/>
      <c r="AL10" s="2"/>
    </row>
    <row r="11" spans="1:38" x14ac:dyDescent="0.25">
      <c r="B11">
        <v>9</v>
      </c>
      <c r="C11" s="2">
        <v>0.47249602881567937</v>
      </c>
      <c r="D11" s="2">
        <v>0.52428950848862554</v>
      </c>
      <c r="E11" s="2">
        <v>0.53664731863405002</v>
      </c>
      <c r="G11" s="2">
        <f t="shared" si="0"/>
        <v>-5.1793479672946174E-2</v>
      </c>
      <c r="H11" s="2">
        <f t="shared" si="1"/>
        <v>-6.4151289818370649E-2</v>
      </c>
      <c r="J11" s="2"/>
      <c r="L11">
        <v>9</v>
      </c>
      <c r="M11" s="2">
        <v>0.37461898728269466</v>
      </c>
      <c r="N11" s="2">
        <v>0.32424696546396731</v>
      </c>
      <c r="O11" s="2">
        <v>0.2825584014772497</v>
      </c>
      <c r="Q11" s="2">
        <f t="shared" si="2"/>
        <v>5.0372021818727353E-2</v>
      </c>
      <c r="R11" s="2">
        <f t="shared" si="3"/>
        <v>9.2060585805444961E-2</v>
      </c>
      <c r="V11">
        <v>9</v>
      </c>
      <c r="W11" s="2">
        <v>0.22926305646977432</v>
      </c>
      <c r="X11" s="2">
        <v>0.26462904525522629</v>
      </c>
      <c r="Y11" s="2">
        <v>0.30575597238443869</v>
      </c>
      <c r="AA11" s="2">
        <f t="shared" si="4"/>
        <v>-3.5365988785451968E-2</v>
      </c>
      <c r="AB11" s="2">
        <f t="shared" si="5"/>
        <v>-7.6492915914664367E-2</v>
      </c>
      <c r="AK11" s="2"/>
      <c r="AL11" s="2"/>
    </row>
    <row r="12" spans="1:38" x14ac:dyDescent="0.25">
      <c r="B12">
        <v>10</v>
      </c>
      <c r="C12" s="2">
        <v>0.62569240351143063</v>
      </c>
      <c r="D12" s="2">
        <v>0.528003473504563</v>
      </c>
      <c r="E12" s="2">
        <v>0.59221528805186574</v>
      </c>
      <c r="G12" s="2">
        <f t="shared" si="0"/>
        <v>9.7688930006867625E-2</v>
      </c>
      <c r="H12" s="2">
        <f t="shared" si="1"/>
        <v>3.3477115459564888E-2</v>
      </c>
      <c r="J12" s="2"/>
      <c r="L12">
        <v>10</v>
      </c>
      <c r="M12" s="2">
        <v>0.38913887009633469</v>
      </c>
      <c r="N12" s="2">
        <v>0.31173336221877834</v>
      </c>
      <c r="O12" s="2">
        <v>0.41680612384098276</v>
      </c>
      <c r="Q12" s="2">
        <f t="shared" si="2"/>
        <v>7.7405507877556345E-2</v>
      </c>
      <c r="R12" s="2">
        <f t="shared" si="3"/>
        <v>-2.7667253744648068E-2</v>
      </c>
      <c r="V12">
        <v>10</v>
      </c>
      <c r="W12" s="2">
        <v>0.34727614408361335</v>
      </c>
      <c r="X12" s="2">
        <v>0.40875771065074534</v>
      </c>
      <c r="Y12" s="2">
        <v>0.37433631833258668</v>
      </c>
      <c r="AA12" s="2">
        <f t="shared" si="4"/>
        <v>-6.1481566567131996E-2</v>
      </c>
      <c r="AB12" s="2">
        <f t="shared" si="5"/>
        <v>-2.7060174248973334E-2</v>
      </c>
      <c r="AK12" s="2"/>
      <c r="AL12" s="2"/>
    </row>
    <row r="13" spans="1:38" x14ac:dyDescent="0.25">
      <c r="B13">
        <v>11</v>
      </c>
      <c r="C13" s="2">
        <v>0.658008144265117</v>
      </c>
      <c r="D13" s="2">
        <v>0.655582884120678</v>
      </c>
      <c r="E13" s="2">
        <v>0.69168732346662798</v>
      </c>
      <c r="G13" s="2">
        <f t="shared" si="0"/>
        <v>2.425260144439001E-3</v>
      </c>
      <c r="H13" s="2">
        <f t="shared" si="1"/>
        <v>-3.3679179201510978E-2</v>
      </c>
      <c r="J13" s="2"/>
      <c r="L13">
        <v>11</v>
      </c>
      <c r="M13" s="2">
        <v>0.44596083186556301</v>
      </c>
      <c r="N13" s="2">
        <v>0.43484849636031936</v>
      </c>
      <c r="O13" s="2">
        <v>0.41809059609920002</v>
      </c>
      <c r="Q13" s="2">
        <f t="shared" si="2"/>
        <v>1.1112335505243653E-2</v>
      </c>
      <c r="R13" s="2">
        <f t="shared" si="3"/>
        <v>2.7870235766362994E-2</v>
      </c>
      <c r="V13">
        <v>11</v>
      </c>
      <c r="W13" s="2">
        <v>0.44542504280011497</v>
      </c>
      <c r="X13" s="2">
        <v>0.55453336402794851</v>
      </c>
      <c r="Y13" s="2">
        <v>0.37954797142998192</v>
      </c>
      <c r="AA13" s="2">
        <f t="shared" si="4"/>
        <v>-0.10910832122783354</v>
      </c>
      <c r="AB13" s="2">
        <f t="shared" si="5"/>
        <v>6.5877071370133045E-2</v>
      </c>
      <c r="AK13" s="2"/>
      <c r="AL13" s="2"/>
    </row>
    <row r="14" spans="1:38" x14ac:dyDescent="0.25">
      <c r="B14">
        <v>12</v>
      </c>
      <c r="C14" s="2">
        <v>0.6988108514672543</v>
      </c>
      <c r="D14" s="2">
        <v>0.50746334643901403</v>
      </c>
      <c r="E14" s="2">
        <v>0.57269711073061869</v>
      </c>
      <c r="G14" s="2">
        <f t="shared" si="0"/>
        <v>0.19134750502824027</v>
      </c>
      <c r="H14" s="2">
        <f t="shared" si="1"/>
        <v>0.12611374073663562</v>
      </c>
      <c r="J14" s="2"/>
      <c r="L14">
        <v>12</v>
      </c>
      <c r="M14" s="2">
        <v>0.56024415039085362</v>
      </c>
      <c r="N14" s="2">
        <v>0.55294179009829569</v>
      </c>
      <c r="O14" s="2">
        <v>0.41017922136347096</v>
      </c>
      <c r="Q14" s="2">
        <f t="shared" si="2"/>
        <v>7.3023602925579301E-3</v>
      </c>
      <c r="R14" s="2">
        <f t="shared" si="3"/>
        <v>0.15006492902738267</v>
      </c>
      <c r="V14">
        <v>12</v>
      </c>
      <c r="W14" s="2">
        <v>0.41922375796546851</v>
      </c>
      <c r="X14" s="2">
        <v>0.39247626480005599</v>
      </c>
      <c r="Y14" s="2">
        <v>0.30268068975732848</v>
      </c>
      <c r="AA14" s="2">
        <f t="shared" si="4"/>
        <v>2.6747493165412528E-2</v>
      </c>
      <c r="AB14" s="2">
        <f t="shared" si="5"/>
        <v>0.11654306820814003</v>
      </c>
      <c r="AI14" s="3"/>
      <c r="AK14" s="2"/>
      <c r="AL14" s="2"/>
    </row>
    <row r="16" spans="1:38" x14ac:dyDescent="0.25">
      <c r="C16" s="2">
        <f>AVERAGE(C3:C14)</f>
        <v>0.59098375923627811</v>
      </c>
      <c r="D16" s="2">
        <f>AVERAGE(D3:D14)</f>
        <v>0.56703718335072506</v>
      </c>
      <c r="E16" s="2">
        <f>AVERAGE(E3:E14)</f>
        <v>0.57747933790044514</v>
      </c>
      <c r="F16" s="2"/>
      <c r="G16" s="2">
        <f>AVERAGE(G3:G14)</f>
        <v>2.3946575885553156E-2</v>
      </c>
      <c r="H16" s="2">
        <f>AVERAGE(H3:H14)</f>
        <v>1.350442133583315E-2</v>
      </c>
      <c r="I16" s="2"/>
      <c r="J16" s="2"/>
      <c r="K16" s="2"/>
      <c r="L16" s="2"/>
      <c r="M16" s="2">
        <f>AVERAGE(M3:M14)</f>
        <v>0.4126437601395388</v>
      </c>
      <c r="N16" s="2">
        <f>AVERAGE(N3:N14)</f>
        <v>0.39336427481246439</v>
      </c>
      <c r="O16" s="2">
        <f>AVERAGE(O3:O14)</f>
        <v>0.41719656822184858</v>
      </c>
      <c r="P16" s="2"/>
      <c r="Q16" s="2">
        <f>AVERAGE(Q3:Q14)</f>
        <v>1.9279485327074516E-2</v>
      </c>
      <c r="R16" s="2">
        <f>AVERAGE(R3:R14)</f>
        <v>-4.5528080823097521E-3</v>
      </c>
      <c r="S16" s="2"/>
      <c r="T16" s="2"/>
      <c r="U16" s="2"/>
      <c r="V16" s="2"/>
      <c r="W16" s="2">
        <f>AVERAGE(W3:W14)</f>
        <v>0.36948877059485946</v>
      </c>
      <c r="X16" s="2">
        <f>AVERAGE(X3:X14)</f>
        <v>0.34042339725420406</v>
      </c>
      <c r="Y16" s="2">
        <f>AVERAGE(Y3:Y14)</f>
        <v>0.35215827510500891</v>
      </c>
      <c r="Z16" s="2"/>
      <c r="AA16" s="2">
        <f>AVERAGE(AA3:AA14)</f>
        <v>2.9065373340655395E-2</v>
      </c>
      <c r="AB16" s="2">
        <f>AVERAGE(AB3:AB14)</f>
        <v>1.7330495489850471E-2</v>
      </c>
      <c r="AC16" s="2"/>
      <c r="AG16" s="3"/>
      <c r="AH16" s="3"/>
      <c r="AI16" s="3"/>
      <c r="AK16" s="3"/>
      <c r="AL16" s="3"/>
    </row>
    <row r="17" spans="1:38" x14ac:dyDescent="0.25">
      <c r="C17" s="2">
        <f>STDEV(C3:C14)</f>
        <v>9.6375781626689416E-2</v>
      </c>
      <c r="D17" s="2">
        <f>STDEV(D3:D14)</f>
        <v>8.6149733929768241E-2</v>
      </c>
      <c r="E17" s="2">
        <f>STDEV(E3:E14)</f>
        <v>5.7971368526670765E-2</v>
      </c>
      <c r="F17" s="2"/>
      <c r="G17" s="2">
        <f>STDEV(G3:G14)</f>
        <v>7.9131063522782222E-2</v>
      </c>
      <c r="H17" s="2">
        <f>STDEV(H3:H14)</f>
        <v>6.2489653638496526E-2</v>
      </c>
      <c r="I17" s="2"/>
      <c r="J17" s="2"/>
      <c r="K17" s="2"/>
      <c r="L17" s="2"/>
      <c r="M17" s="2">
        <f>STDEV(M3:M14)</f>
        <v>0.11505367869575901</v>
      </c>
      <c r="N17" s="2">
        <f>STDEV(N3:N14)</f>
        <v>9.6561275886616296E-2</v>
      </c>
      <c r="O17" s="2">
        <f>STDEV(O3:O14)</f>
        <v>7.7654460675803227E-2</v>
      </c>
      <c r="P17" s="2"/>
      <c r="Q17" s="2">
        <f>STDEV(Q3:Q14)</f>
        <v>6.629912341506744E-2</v>
      </c>
      <c r="R17" s="2">
        <f>STDEV(R3:R14)</f>
        <v>0.10611303755774638</v>
      </c>
      <c r="S17" s="2"/>
      <c r="T17" s="2"/>
      <c r="U17" s="2"/>
      <c r="V17" s="2"/>
      <c r="W17" s="2">
        <f>STDEV(W3:W14)</f>
        <v>8.8514723375262491E-2</v>
      </c>
      <c r="X17" s="2">
        <f>STDEV(X3:X14)</f>
        <v>0.10047294565543817</v>
      </c>
      <c r="Y17" s="2">
        <f>STDEV(Y3:Y14)</f>
        <v>0.10040014431600514</v>
      </c>
      <c r="Z17" s="2"/>
      <c r="AA17" s="2">
        <f>STDEV(AA3:AA14)</f>
        <v>6.7197144588716076E-2</v>
      </c>
      <c r="AB17" s="2">
        <f>STDEV(AB3:AB14)</f>
        <v>8.2431207578283858E-2</v>
      </c>
      <c r="AC17" s="2"/>
      <c r="AG17" s="3"/>
      <c r="AH17" s="3"/>
      <c r="AI17" s="3"/>
      <c r="AK17" s="3"/>
      <c r="AL17" s="3"/>
    </row>
    <row r="20" spans="1:38" x14ac:dyDescent="0.25">
      <c r="A20" t="s">
        <v>16</v>
      </c>
      <c r="G20" t="s">
        <v>14</v>
      </c>
      <c r="H20" t="s">
        <v>15</v>
      </c>
      <c r="K20" t="s">
        <v>16</v>
      </c>
      <c r="Q20" t="s">
        <v>14</v>
      </c>
      <c r="R20" t="s">
        <v>15</v>
      </c>
      <c r="U20" t="s">
        <v>16</v>
      </c>
      <c r="AA20" t="s">
        <v>14</v>
      </c>
      <c r="AB20" t="s">
        <v>15</v>
      </c>
    </row>
    <row r="21" spans="1:38" x14ac:dyDescent="0.25">
      <c r="A21" s="1">
        <v>0.25</v>
      </c>
      <c r="B21" t="s">
        <v>1</v>
      </c>
      <c r="C21" t="s">
        <v>29</v>
      </c>
      <c r="D21" t="s">
        <v>30</v>
      </c>
      <c r="E21" t="s">
        <v>31</v>
      </c>
      <c r="G21" t="s">
        <v>13</v>
      </c>
      <c r="H21" t="s">
        <v>13</v>
      </c>
      <c r="J21" s="1"/>
      <c r="K21" s="1">
        <v>0.5</v>
      </c>
      <c r="L21" t="s">
        <v>1</v>
      </c>
      <c r="M21" t="s">
        <v>29</v>
      </c>
      <c r="N21" t="s">
        <v>30</v>
      </c>
      <c r="O21" t="s">
        <v>31</v>
      </c>
      <c r="Q21" t="s">
        <v>13</v>
      </c>
      <c r="R21" t="s">
        <v>13</v>
      </c>
      <c r="U21" s="1">
        <v>0.75</v>
      </c>
      <c r="V21" t="s">
        <v>1</v>
      </c>
      <c r="W21" t="s">
        <v>29</v>
      </c>
      <c r="X21" t="s">
        <v>30</v>
      </c>
      <c r="Y21" t="s">
        <v>31</v>
      </c>
      <c r="AA21" t="s">
        <v>13</v>
      </c>
      <c r="AB21" t="s">
        <v>13</v>
      </c>
    </row>
    <row r="22" spans="1:38" x14ac:dyDescent="0.25">
      <c r="B22">
        <v>1</v>
      </c>
      <c r="C22" s="2">
        <v>0.6280221726719496</v>
      </c>
      <c r="D22" s="2">
        <v>0.67699254937691233</v>
      </c>
      <c r="E22" s="2">
        <v>0.61462187807594304</v>
      </c>
      <c r="G22" s="2">
        <f>C22-D22</f>
        <v>-4.8970376704962737E-2</v>
      </c>
      <c r="H22" s="2">
        <f>C22-E22</f>
        <v>1.3400294596006557E-2</v>
      </c>
      <c r="J22" s="2"/>
      <c r="L22">
        <v>1</v>
      </c>
      <c r="M22" s="2">
        <v>0.56230277440120302</v>
      </c>
      <c r="N22" s="2">
        <v>0.57813410923594299</v>
      </c>
      <c r="O22" s="2">
        <v>0.54175540793819266</v>
      </c>
      <c r="Q22" s="2">
        <f>M22-N22</f>
        <v>-1.5831334834739974E-2</v>
      </c>
      <c r="R22" s="2">
        <f>M22-O22</f>
        <v>2.0547366463010364E-2</v>
      </c>
      <c r="V22">
        <v>1</v>
      </c>
      <c r="W22" s="2">
        <v>0.60163410678561835</v>
      </c>
      <c r="X22" s="2">
        <v>0.43474437754727929</v>
      </c>
      <c r="Y22" s="2">
        <v>0.35553440870868364</v>
      </c>
      <c r="AA22" s="2">
        <f>W22-X22</f>
        <v>0.16688972923833906</v>
      </c>
      <c r="AB22" s="2">
        <f>W22-Y22</f>
        <v>0.24609969807693471</v>
      </c>
    </row>
    <row r="23" spans="1:38" x14ac:dyDescent="0.25">
      <c r="B23">
        <v>2</v>
      </c>
      <c r="C23" s="2">
        <v>0.65902324689284231</v>
      </c>
      <c r="D23" s="2">
        <v>0.62465555673078932</v>
      </c>
      <c r="E23" s="2">
        <v>0.63130181005886632</v>
      </c>
      <c r="G23" s="2">
        <f t="shared" ref="G23:G33" si="6">C23-D23</f>
        <v>3.4367690162052988E-2</v>
      </c>
      <c r="H23" s="2">
        <f t="shared" ref="H23:H33" si="7">C23-E23</f>
        <v>2.7721436833975988E-2</v>
      </c>
      <c r="J23" s="2"/>
      <c r="L23">
        <v>2</v>
      </c>
      <c r="M23" s="2">
        <v>0.4370756705833963</v>
      </c>
      <c r="N23" s="2">
        <v>0.4819471191600983</v>
      </c>
      <c r="O23" s="2">
        <v>0.5285259613349943</v>
      </c>
      <c r="Q23" s="2">
        <f t="shared" ref="Q23:Q33" si="8">M23-N23</f>
        <v>-4.4871448576702E-2</v>
      </c>
      <c r="R23" s="2">
        <f t="shared" ref="R23:R33" si="9">M23-O23</f>
        <v>-9.1450290751597996E-2</v>
      </c>
      <c r="V23">
        <v>2</v>
      </c>
      <c r="W23" s="2">
        <v>0.38278588564598931</v>
      </c>
      <c r="X23" s="2">
        <v>0.43275917928495994</v>
      </c>
      <c r="Y23" s="2">
        <v>0.38044352135672366</v>
      </c>
      <c r="AA23" s="2">
        <f t="shared" ref="AA23:AA33" si="10">W23-X23</f>
        <v>-4.9973293638970628E-2</v>
      </c>
      <c r="AB23" s="2">
        <f t="shared" ref="AB23:AB33" si="11">W23-Y23</f>
        <v>2.3423642892656527E-3</v>
      </c>
    </row>
    <row r="24" spans="1:38" x14ac:dyDescent="0.25">
      <c r="B24">
        <v>3</v>
      </c>
      <c r="C24" s="2">
        <v>0.5395694406262983</v>
      </c>
      <c r="D24" s="2">
        <v>0.52443222273520063</v>
      </c>
      <c r="E24" s="2">
        <v>0.41511030047246805</v>
      </c>
      <c r="G24" s="2">
        <f t="shared" si="6"/>
        <v>1.5137217891097676E-2</v>
      </c>
      <c r="H24" s="2">
        <f t="shared" si="7"/>
        <v>0.12445914015383025</v>
      </c>
      <c r="J24" s="2"/>
      <c r="L24">
        <v>3</v>
      </c>
      <c r="M24" s="2">
        <v>0.371243575390868</v>
      </c>
      <c r="N24" s="2">
        <v>0.26631316037737002</v>
      </c>
      <c r="O24" s="2">
        <v>0.32573353772904634</v>
      </c>
      <c r="Q24" s="2">
        <f t="shared" si="8"/>
        <v>0.10493041501349798</v>
      </c>
      <c r="R24" s="2">
        <f t="shared" si="9"/>
        <v>4.5510037661821656E-2</v>
      </c>
      <c r="V24">
        <v>3</v>
      </c>
      <c r="W24" s="2">
        <v>0.31242434967729538</v>
      </c>
      <c r="X24" s="2">
        <v>0.24798578552112671</v>
      </c>
      <c r="Y24" s="2">
        <v>0.26248674423323531</v>
      </c>
      <c r="AA24" s="2">
        <f t="shared" si="10"/>
        <v>6.4438564156168665E-2</v>
      </c>
      <c r="AB24" s="2">
        <f t="shared" si="11"/>
        <v>4.9937605444060063E-2</v>
      </c>
    </row>
    <row r="25" spans="1:38" x14ac:dyDescent="0.25">
      <c r="B25">
        <v>4</v>
      </c>
      <c r="C25" s="2">
        <v>0.54328718215673077</v>
      </c>
      <c r="D25" s="2">
        <v>0.47908916037524502</v>
      </c>
      <c r="E25" s="2">
        <v>0.45155207212928533</v>
      </c>
      <c r="G25" s="2">
        <f t="shared" si="6"/>
        <v>6.4198021781485759E-2</v>
      </c>
      <c r="H25" s="2">
        <f t="shared" si="7"/>
        <v>9.1735110027445443E-2</v>
      </c>
      <c r="J25" s="2"/>
      <c r="L25">
        <v>4</v>
      </c>
      <c r="M25" s="2">
        <v>0.24931436135324866</v>
      </c>
      <c r="N25" s="2">
        <v>0.31108866354536902</v>
      </c>
      <c r="O25" s="2">
        <v>0.25482743820058434</v>
      </c>
      <c r="Q25" s="2">
        <f t="shared" si="8"/>
        <v>-6.1774302192120351E-2</v>
      </c>
      <c r="R25" s="2">
        <f t="shared" si="9"/>
        <v>-5.5130768473356795E-3</v>
      </c>
      <c r="V25">
        <v>4</v>
      </c>
      <c r="W25" s="2">
        <v>0.20874308266980601</v>
      </c>
      <c r="X25" s="2">
        <v>0.24266833585520398</v>
      </c>
      <c r="Y25" s="2">
        <v>0.23875098388922533</v>
      </c>
      <c r="AA25" s="2">
        <f t="shared" si="10"/>
        <v>-3.3925253185397963E-2</v>
      </c>
      <c r="AB25" s="2">
        <f t="shared" si="11"/>
        <v>-3.000790121941932E-2</v>
      </c>
    </row>
    <row r="26" spans="1:38" x14ac:dyDescent="0.25">
      <c r="B26">
        <v>5</v>
      </c>
      <c r="C26" s="2">
        <v>0.58207925892402701</v>
      </c>
      <c r="D26" s="2">
        <v>0.49239705260532068</v>
      </c>
      <c r="E26" s="2">
        <v>0.5142631381974877</v>
      </c>
      <c r="G26" s="2">
        <f t="shared" si="6"/>
        <v>8.9682206318706326E-2</v>
      </c>
      <c r="H26" s="2">
        <f t="shared" si="7"/>
        <v>6.7816120726539308E-2</v>
      </c>
      <c r="J26" s="2"/>
      <c r="L26">
        <v>5</v>
      </c>
      <c r="M26" s="2">
        <v>0.35868236847383539</v>
      </c>
      <c r="N26" s="2">
        <v>0.42543081212049133</v>
      </c>
      <c r="O26" s="2">
        <v>0.38613715109368535</v>
      </c>
      <c r="Q26" s="2">
        <f t="shared" si="8"/>
        <v>-6.6748443646655942E-2</v>
      </c>
      <c r="R26" s="2">
        <f t="shared" si="9"/>
        <v>-2.745478261984996E-2</v>
      </c>
      <c r="V26">
        <v>5</v>
      </c>
      <c r="W26" s="2">
        <v>0.23160223385841069</v>
      </c>
      <c r="X26" s="2">
        <v>0.28114995071488869</v>
      </c>
      <c r="Y26" s="2">
        <v>0.398746803675464</v>
      </c>
      <c r="AA26" s="2">
        <f t="shared" si="10"/>
        <v>-4.9547716856477991E-2</v>
      </c>
      <c r="AB26" s="2">
        <f t="shared" si="11"/>
        <v>-0.16714456981705331</v>
      </c>
    </row>
    <row r="27" spans="1:38" x14ac:dyDescent="0.25">
      <c r="B27">
        <v>6</v>
      </c>
      <c r="C27" s="2">
        <v>0.53929732460270274</v>
      </c>
      <c r="D27" s="2">
        <v>0.59478633008615367</v>
      </c>
      <c r="E27" s="2">
        <v>0.6076507860396877</v>
      </c>
      <c r="G27" s="2">
        <f t="shared" si="6"/>
        <v>-5.5489005483450926E-2</v>
      </c>
      <c r="H27" s="2">
        <f t="shared" si="7"/>
        <v>-6.8353461436984952E-2</v>
      </c>
      <c r="J27" s="2"/>
      <c r="L27">
        <v>6</v>
      </c>
      <c r="M27" s="2">
        <v>0.31777144859464651</v>
      </c>
      <c r="N27" s="2">
        <v>0.40113110932592227</v>
      </c>
      <c r="O27" s="2">
        <v>0.53124183149108795</v>
      </c>
      <c r="Q27" s="2">
        <f t="shared" si="8"/>
        <v>-8.3359660731275764E-2</v>
      </c>
      <c r="R27" s="2">
        <f t="shared" si="9"/>
        <v>-0.21347038289644144</v>
      </c>
      <c r="V27">
        <v>6</v>
      </c>
      <c r="W27" s="2">
        <v>0.33193750520257648</v>
      </c>
      <c r="X27" s="2">
        <v>0.37479231962647969</v>
      </c>
      <c r="Y27" s="2">
        <v>0.38734570716396766</v>
      </c>
      <c r="AA27" s="2">
        <f t="shared" si="10"/>
        <v>-4.2854814423903209E-2</v>
      </c>
      <c r="AB27" s="2">
        <f t="shared" si="11"/>
        <v>-5.5408201961391179E-2</v>
      </c>
    </row>
    <row r="28" spans="1:38" x14ac:dyDescent="0.25">
      <c r="B28">
        <v>7</v>
      </c>
      <c r="C28" s="2">
        <v>0.56999999999999995</v>
      </c>
      <c r="D28">
        <v>0.56999999999999995</v>
      </c>
      <c r="E28">
        <v>0.54</v>
      </c>
      <c r="G28" s="2">
        <f t="shared" si="6"/>
        <v>0</v>
      </c>
      <c r="H28" s="2">
        <f t="shared" si="7"/>
        <v>2.9999999999999916E-2</v>
      </c>
      <c r="J28" s="2"/>
      <c r="L28">
        <v>7</v>
      </c>
      <c r="M28" s="2">
        <v>0.35</v>
      </c>
      <c r="N28">
        <v>0.41</v>
      </c>
      <c r="O28">
        <v>0.43</v>
      </c>
      <c r="Q28" s="2">
        <f t="shared" si="8"/>
        <v>-0.06</v>
      </c>
      <c r="R28" s="2">
        <f t="shared" si="9"/>
        <v>-8.0000000000000016E-2</v>
      </c>
      <c r="V28">
        <v>7</v>
      </c>
      <c r="W28" s="2">
        <v>0.28999999999999998</v>
      </c>
      <c r="X28">
        <v>0.34</v>
      </c>
      <c r="Y28">
        <v>0.34</v>
      </c>
      <c r="AA28" s="2">
        <f t="shared" si="10"/>
        <v>-5.0000000000000044E-2</v>
      </c>
      <c r="AB28" s="2">
        <f t="shared" si="11"/>
        <v>-5.0000000000000044E-2</v>
      </c>
    </row>
    <row r="29" spans="1:38" x14ac:dyDescent="0.25">
      <c r="B29">
        <v>8</v>
      </c>
      <c r="C29" s="2">
        <v>0.5878757089587856</v>
      </c>
      <c r="D29" s="2">
        <v>0.67735233991926158</v>
      </c>
      <c r="E29" s="2">
        <v>0.62888004493457395</v>
      </c>
      <c r="G29" s="2">
        <f t="shared" si="6"/>
        <v>-8.9476630960475978E-2</v>
      </c>
      <c r="H29" s="2">
        <f t="shared" si="7"/>
        <v>-4.1004335975788342E-2</v>
      </c>
      <c r="J29" s="2"/>
      <c r="L29">
        <v>8</v>
      </c>
      <c r="M29" s="2">
        <v>0.51854198753060998</v>
      </c>
      <c r="N29" s="2">
        <v>0.41085617794114698</v>
      </c>
      <c r="O29" s="2">
        <v>0.5091400840501924</v>
      </c>
      <c r="Q29" s="2">
        <f t="shared" si="8"/>
        <v>0.107685809589463</v>
      </c>
      <c r="R29" s="2">
        <f t="shared" si="9"/>
        <v>9.4019034804175838E-3</v>
      </c>
      <c r="V29">
        <v>8</v>
      </c>
      <c r="W29" s="2">
        <v>0.37721317108910707</v>
      </c>
      <c r="X29" s="2">
        <v>0.34628865607627501</v>
      </c>
      <c r="Y29" s="2">
        <v>0.44223568328205826</v>
      </c>
      <c r="AA29" s="2">
        <f t="shared" si="10"/>
        <v>3.0924515012832055E-2</v>
      </c>
      <c r="AB29" s="2">
        <f t="shared" si="11"/>
        <v>-6.5022512192951187E-2</v>
      </c>
    </row>
    <row r="30" spans="1:38" x14ac:dyDescent="0.25">
      <c r="B30">
        <v>9</v>
      </c>
      <c r="C30" s="2">
        <v>0.54671732063234701</v>
      </c>
      <c r="D30" s="2">
        <v>0.59205273906943168</v>
      </c>
      <c r="E30" s="2">
        <v>0.53201306038746066</v>
      </c>
      <c r="G30" s="2">
        <f t="shared" si="6"/>
        <v>-4.5335418437084662E-2</v>
      </c>
      <c r="H30" s="2">
        <f t="shared" si="7"/>
        <v>1.4704260244886358E-2</v>
      </c>
      <c r="J30" s="2"/>
      <c r="L30">
        <v>9</v>
      </c>
      <c r="M30" s="2">
        <v>0.41553242245809202</v>
      </c>
      <c r="N30" s="2">
        <v>0.36709769904616302</v>
      </c>
      <c r="O30" s="2">
        <v>0.31738634848905029</v>
      </c>
      <c r="Q30" s="2">
        <f t="shared" si="8"/>
        <v>4.8434723411929004E-2</v>
      </c>
      <c r="R30" s="2">
        <f t="shared" si="9"/>
        <v>9.8146073969041736E-2</v>
      </c>
      <c r="V30">
        <v>9</v>
      </c>
      <c r="W30" s="2">
        <v>0.41193088249996795</v>
      </c>
      <c r="X30" s="2">
        <v>0.27416427277910749</v>
      </c>
      <c r="Y30" s="2">
        <v>0.28644439603004734</v>
      </c>
      <c r="AA30" s="2">
        <f t="shared" si="10"/>
        <v>0.13776660972086047</v>
      </c>
      <c r="AB30" s="2">
        <f t="shared" si="11"/>
        <v>0.12548648646992061</v>
      </c>
    </row>
    <row r="31" spans="1:38" x14ac:dyDescent="0.25">
      <c r="B31">
        <v>10</v>
      </c>
      <c r="C31" s="2">
        <v>0.60814038149198091</v>
      </c>
      <c r="D31" s="2">
        <v>0.56470495216608063</v>
      </c>
      <c r="E31" s="2">
        <v>0.56472128052708959</v>
      </c>
      <c r="G31" s="2">
        <f t="shared" si="6"/>
        <v>4.3435429325900277E-2</v>
      </c>
      <c r="H31" s="2">
        <f t="shared" si="7"/>
        <v>4.3419100964891322E-2</v>
      </c>
      <c r="J31" s="2"/>
      <c r="L31">
        <v>10</v>
      </c>
      <c r="M31" s="2">
        <v>0.44767625090530005</v>
      </c>
      <c r="N31" s="2">
        <v>0.42547846487659435</v>
      </c>
      <c r="O31" s="2">
        <v>0.4651334314966023</v>
      </c>
      <c r="Q31" s="2">
        <f t="shared" si="8"/>
        <v>2.2197786028705702E-2</v>
      </c>
      <c r="R31" s="2">
        <f t="shared" si="9"/>
        <v>-1.7457180591302246E-2</v>
      </c>
      <c r="V31">
        <v>10</v>
      </c>
      <c r="W31" s="2">
        <v>0.46988769377224965</v>
      </c>
      <c r="X31" s="2">
        <v>0.37640449736606935</v>
      </c>
      <c r="Y31" s="2">
        <v>0.45606483537275966</v>
      </c>
      <c r="AA31" s="2">
        <f t="shared" si="10"/>
        <v>9.3483196406180302E-2</v>
      </c>
      <c r="AB31" s="2">
        <f t="shared" si="11"/>
        <v>1.382285839948999E-2</v>
      </c>
    </row>
    <row r="32" spans="1:38" x14ac:dyDescent="0.25">
      <c r="B32">
        <v>11</v>
      </c>
      <c r="C32" s="2">
        <v>0.66529487379877628</v>
      </c>
      <c r="D32" s="2">
        <v>0.58320062271911466</v>
      </c>
      <c r="E32" s="2">
        <v>0.57461145931549662</v>
      </c>
      <c r="G32" s="2">
        <f t="shared" si="6"/>
        <v>8.2094251079661618E-2</v>
      </c>
      <c r="H32" s="2">
        <f t="shared" si="7"/>
        <v>9.0683414483279656E-2</v>
      </c>
      <c r="J32" s="2"/>
      <c r="L32">
        <v>11</v>
      </c>
      <c r="M32" s="2">
        <v>0.59599268962952456</v>
      </c>
      <c r="N32" s="2">
        <v>0.45491873453401838</v>
      </c>
      <c r="O32" s="2">
        <v>0.39073672331917897</v>
      </c>
      <c r="Q32" s="2">
        <f t="shared" si="8"/>
        <v>0.14107395509550619</v>
      </c>
      <c r="R32" s="2">
        <f t="shared" si="9"/>
        <v>0.20525596631034559</v>
      </c>
      <c r="V32">
        <v>11</v>
      </c>
      <c r="W32" s="2">
        <v>0.4831149761802857</v>
      </c>
      <c r="X32" s="2">
        <v>0.39700784018191865</v>
      </c>
      <c r="Y32" s="2">
        <v>0.20884847309771448</v>
      </c>
      <c r="AA32" s="2">
        <f t="shared" si="10"/>
        <v>8.6107135998367057E-2</v>
      </c>
      <c r="AB32" s="2">
        <f t="shared" si="11"/>
        <v>0.27426650308257122</v>
      </c>
    </row>
    <row r="33" spans="1:28" x14ac:dyDescent="0.25">
      <c r="B33">
        <v>12</v>
      </c>
      <c r="C33" s="2">
        <v>0.65719081381987443</v>
      </c>
      <c r="D33" s="2">
        <v>0.65036987362939935</v>
      </c>
      <c r="E33" s="2">
        <v>0.63176338501631368</v>
      </c>
      <c r="G33" s="2">
        <f t="shared" si="6"/>
        <v>6.8209401904750777E-3</v>
      </c>
      <c r="H33" s="2">
        <f t="shared" si="7"/>
        <v>2.5427428803560748E-2</v>
      </c>
      <c r="J33" s="2"/>
      <c r="L33">
        <v>12</v>
      </c>
      <c r="M33" s="2">
        <v>0.51843571356655538</v>
      </c>
      <c r="N33" s="2">
        <v>0.48183953240275601</v>
      </c>
      <c r="O33" s="2">
        <v>0.44595987944519228</v>
      </c>
      <c r="Q33" s="2">
        <f t="shared" si="8"/>
        <v>3.6596181163799368E-2</v>
      </c>
      <c r="R33" s="2">
        <f t="shared" si="9"/>
        <v>7.2475834121363103E-2</v>
      </c>
      <c r="V33">
        <v>12</v>
      </c>
      <c r="W33" s="2">
        <v>0.46980301681031761</v>
      </c>
      <c r="X33" s="2">
        <v>0.38501758722967877</v>
      </c>
      <c r="Y33" s="2">
        <v>0.32939853125968938</v>
      </c>
      <c r="AA33" s="2">
        <f t="shared" si="10"/>
        <v>8.4785429580638838E-2</v>
      </c>
      <c r="AB33" s="2">
        <f t="shared" si="11"/>
        <v>0.14040448555062823</v>
      </c>
    </row>
    <row r="35" spans="1:28" x14ac:dyDescent="0.25">
      <c r="A35" s="2"/>
      <c r="B35" s="2"/>
      <c r="C35" s="2">
        <f>AVERAGE(C22:C33)</f>
        <v>0.59387481038135959</v>
      </c>
      <c r="D35" s="2">
        <f>AVERAGE(D22:D33)</f>
        <v>0.58583611661774249</v>
      </c>
      <c r="E35" s="2">
        <f>AVERAGE(E22:E33)</f>
        <v>0.55887410126288939</v>
      </c>
      <c r="F35" s="2"/>
      <c r="G35" s="2">
        <f>AVERAGE(G22:G33)</f>
        <v>8.0386937636171187E-3</v>
      </c>
      <c r="H35" s="2">
        <f>AVERAGE(H22:H33)</f>
        <v>3.500070911847019E-2</v>
      </c>
      <c r="I35" s="2"/>
      <c r="J35" s="2"/>
      <c r="K35" s="2"/>
      <c r="L35" s="2"/>
      <c r="M35" s="2">
        <f>AVERAGE(M22:M33)</f>
        <v>0.42854743857394006</v>
      </c>
      <c r="N35" s="2">
        <f>AVERAGE(N22:N33)</f>
        <v>0.41785296521382281</v>
      </c>
      <c r="O35" s="2">
        <f>AVERAGE(O22:O33)</f>
        <v>0.42721481621565066</v>
      </c>
      <c r="P35" s="2"/>
      <c r="Q35" s="2">
        <f>AVERAGE(Q22:Q33)</f>
        <v>1.0694473360117267E-2</v>
      </c>
      <c r="R35" s="2">
        <f>AVERAGE(R22:R33)</f>
        <v>1.3326223582893898E-3</v>
      </c>
      <c r="S35" s="2"/>
      <c r="T35" s="2"/>
      <c r="U35" s="2"/>
      <c r="V35" s="2"/>
      <c r="W35" s="2">
        <f>AVERAGE(W22:W33)</f>
        <v>0.38092307534930203</v>
      </c>
      <c r="X35" s="2">
        <f>AVERAGE(X22:X33)</f>
        <v>0.34441523351524889</v>
      </c>
      <c r="Y35" s="2">
        <f>AVERAGE(Y22:Y33)</f>
        <v>0.34052500733913066</v>
      </c>
      <c r="Z35" s="2"/>
      <c r="AA35" s="2">
        <f>AVERAGE(AA22:AA33)</f>
        <v>3.6507841834053055E-2</v>
      </c>
      <c r="AB35" s="2">
        <f>AVERAGE(AB22:AB33)</f>
        <v>4.039806801017129E-2</v>
      </c>
    </row>
    <row r="36" spans="1:28" x14ac:dyDescent="0.25">
      <c r="A36" s="2"/>
      <c r="B36" s="2"/>
      <c r="C36" s="2">
        <f>STDEV(C22:C33)</f>
        <v>4.87847333889714E-2</v>
      </c>
      <c r="D36" s="2">
        <f>STDEV(D22:D33)</f>
        <v>6.5418572470260783E-2</v>
      </c>
      <c r="E36" s="2">
        <f>STDEV(E22:E33)</f>
        <v>7.1657150867040678E-2</v>
      </c>
      <c r="F36" s="2"/>
      <c r="G36" s="2">
        <f>STDEV(G22:G33)</f>
        <v>5.800488493340334E-2</v>
      </c>
      <c r="H36" s="2">
        <f>STDEV(H22:H33)</f>
        <v>5.4753086384499834E-2</v>
      </c>
      <c r="I36" s="2"/>
      <c r="J36" s="2"/>
      <c r="K36" s="2"/>
      <c r="L36" s="2"/>
      <c r="M36" s="2">
        <f>STDEV(M22:M33)</f>
        <v>0.10507388414458201</v>
      </c>
      <c r="N36" s="2">
        <f>STDEV(N22:N33)</f>
        <v>8.1302521434339678E-2</v>
      </c>
      <c r="O36" s="2">
        <f>STDEV(O22:O33)</f>
        <v>9.4296436287635954E-2</v>
      </c>
      <c r="P36" s="2"/>
      <c r="Q36" s="2">
        <f>STDEV(Q22:Q33)</f>
        <v>7.7693044097734421E-2</v>
      </c>
      <c r="R36" s="2">
        <f>STDEV(R22:R33)</f>
        <v>0.10487981233178334</v>
      </c>
      <c r="S36" s="2"/>
      <c r="T36" s="2"/>
      <c r="U36" s="2"/>
      <c r="V36" s="2"/>
      <c r="W36" s="2">
        <f>STDEV(W22:W33)</f>
        <v>0.1141175389234607</v>
      </c>
      <c r="X36" s="2">
        <f>STDEV(X22:X33)</f>
        <v>6.8048370427577248E-2</v>
      </c>
      <c r="Y36" s="2">
        <f>STDEV(Y22:Y33)</f>
        <v>7.8584440690013468E-2</v>
      </c>
      <c r="Z36" s="2"/>
      <c r="AA36" s="2">
        <f>STDEV(AA22:AA33)</f>
        <v>7.9617542989822751E-2</v>
      </c>
      <c r="AB36" s="2">
        <f>STDEV(AB22:AB33)</f>
        <v>0.13245565535207729</v>
      </c>
    </row>
    <row r="40" spans="1:28" x14ac:dyDescent="0.25">
      <c r="A40" t="s">
        <v>17</v>
      </c>
      <c r="G40" t="s">
        <v>14</v>
      </c>
      <c r="H40" t="s">
        <v>15</v>
      </c>
      <c r="K40" t="s">
        <v>17</v>
      </c>
      <c r="Q40" t="s">
        <v>14</v>
      </c>
      <c r="R40" t="s">
        <v>15</v>
      </c>
      <c r="U40" t="s">
        <v>17</v>
      </c>
      <c r="AA40" t="s">
        <v>14</v>
      </c>
      <c r="AB40" t="s">
        <v>15</v>
      </c>
    </row>
    <row r="41" spans="1:28" x14ac:dyDescent="0.25">
      <c r="A41" s="1">
        <v>0.25</v>
      </c>
      <c r="B41" t="s">
        <v>1</v>
      </c>
      <c r="C41" t="s">
        <v>29</v>
      </c>
      <c r="D41" t="s">
        <v>30</v>
      </c>
      <c r="E41" t="s">
        <v>31</v>
      </c>
      <c r="G41" t="s">
        <v>13</v>
      </c>
      <c r="H41" t="s">
        <v>13</v>
      </c>
      <c r="J41" s="1"/>
      <c r="K41" s="1">
        <v>0.5</v>
      </c>
      <c r="L41" t="s">
        <v>1</v>
      </c>
      <c r="M41" t="s">
        <v>29</v>
      </c>
      <c r="N41" t="s">
        <v>30</v>
      </c>
      <c r="O41" t="s">
        <v>31</v>
      </c>
      <c r="Q41" t="s">
        <v>13</v>
      </c>
      <c r="R41" t="s">
        <v>13</v>
      </c>
      <c r="U41" s="1">
        <v>0.75</v>
      </c>
      <c r="V41" t="s">
        <v>1</v>
      </c>
      <c r="W41" t="s">
        <v>29</v>
      </c>
      <c r="X41" t="s">
        <v>30</v>
      </c>
      <c r="Y41" t="s">
        <v>31</v>
      </c>
      <c r="AA41" t="s">
        <v>13</v>
      </c>
      <c r="AB41" t="s">
        <v>13</v>
      </c>
    </row>
    <row r="42" spans="1:28" x14ac:dyDescent="0.25">
      <c r="B42">
        <v>1</v>
      </c>
      <c r="C42" s="2">
        <v>0.67891404290728519</v>
      </c>
      <c r="D42" s="2">
        <v>0.65098930032194235</v>
      </c>
      <c r="E42" s="2">
        <v>0.57002692214206341</v>
      </c>
      <c r="G42" s="2">
        <f>C42-D42</f>
        <v>2.7924742585342832E-2</v>
      </c>
      <c r="H42" s="2">
        <f>C42-E42</f>
        <v>0.10888712076522178</v>
      </c>
      <c r="J42" s="2"/>
      <c r="L42">
        <v>1</v>
      </c>
      <c r="M42" s="2">
        <v>0.47385981603216393</v>
      </c>
      <c r="N42" s="2">
        <v>0.52598426577477275</v>
      </c>
      <c r="O42" s="2">
        <v>0.40030579827511237</v>
      </c>
      <c r="Q42" s="2">
        <f>M42-N42</f>
        <v>-5.2124449742608825E-2</v>
      </c>
      <c r="R42" s="2">
        <f>M42-O42</f>
        <v>7.355401775705156E-2</v>
      </c>
      <c r="V42">
        <v>1</v>
      </c>
      <c r="W42" s="2">
        <v>0.56501923949637134</v>
      </c>
      <c r="X42" s="2">
        <v>0.40227386169739665</v>
      </c>
      <c r="Y42" s="2">
        <v>0.28217259613891005</v>
      </c>
      <c r="AA42" s="2">
        <f>W42-X42</f>
        <v>0.16274537779897469</v>
      </c>
      <c r="AB42" s="2">
        <f>W42-Y42</f>
        <v>0.28284664335746129</v>
      </c>
    </row>
    <row r="43" spans="1:28" x14ac:dyDescent="0.25">
      <c r="B43">
        <v>2</v>
      </c>
      <c r="C43" s="2">
        <v>0.63765853510012693</v>
      </c>
      <c r="D43" s="2">
        <v>0.69319294039780865</v>
      </c>
      <c r="E43" s="2">
        <v>0.63873779242082607</v>
      </c>
      <c r="G43" s="2">
        <f t="shared" ref="G43:G53" si="12">C43-D43</f>
        <v>-5.5534405297681722E-2</v>
      </c>
      <c r="H43" s="2">
        <f t="shared" ref="H43:H53" si="13">C43-E43</f>
        <v>-1.079257320699134E-3</v>
      </c>
      <c r="J43" s="2"/>
      <c r="L43">
        <v>2</v>
      </c>
      <c r="M43" s="2">
        <v>0.45418190703444866</v>
      </c>
      <c r="N43" s="2">
        <v>0.48520819754373234</v>
      </c>
      <c r="O43" s="2">
        <v>0.51494151985131364</v>
      </c>
      <c r="Q43" s="2">
        <f t="shared" ref="Q43:Q53" si="14">M43-N43</f>
        <v>-3.1026290509283683E-2</v>
      </c>
      <c r="R43" s="2">
        <f t="shared" ref="R43:R53" si="15">M43-O43</f>
        <v>-6.0759612816864983E-2</v>
      </c>
      <c r="V43">
        <v>2</v>
      </c>
      <c r="W43" s="2">
        <v>0.40450853577764062</v>
      </c>
      <c r="X43" s="2">
        <v>0.35909670887621098</v>
      </c>
      <c r="Y43" s="2">
        <v>0.39422590937844831</v>
      </c>
      <c r="AA43" s="2">
        <f t="shared" ref="AA43:AA53" si="16">W43-X43</f>
        <v>4.5411826901429642E-2</v>
      </c>
      <c r="AB43" s="2">
        <f t="shared" ref="AB43:AB53" si="17">W43-Y43</f>
        <v>1.0282626399192307E-2</v>
      </c>
    </row>
    <row r="44" spans="1:28" x14ac:dyDescent="0.25">
      <c r="B44">
        <v>3</v>
      </c>
      <c r="C44" s="2">
        <v>0.56763824915147232</v>
      </c>
      <c r="D44" s="2">
        <v>0.55158020433071375</v>
      </c>
      <c r="E44" s="2">
        <v>0.44519318845857669</v>
      </c>
      <c r="G44" s="2">
        <f t="shared" si="12"/>
        <v>1.6058044820758566E-2</v>
      </c>
      <c r="H44" s="2">
        <f t="shared" si="13"/>
        <v>0.12244506069289562</v>
      </c>
      <c r="J44" s="2"/>
      <c r="L44">
        <v>3</v>
      </c>
      <c r="M44" s="2">
        <v>0.34612426265244473</v>
      </c>
      <c r="N44" s="2">
        <v>0.25551961256756367</v>
      </c>
      <c r="O44" s="2">
        <v>0.24678443876886536</v>
      </c>
      <c r="Q44" s="2">
        <f t="shared" si="14"/>
        <v>9.0604650084881055E-2</v>
      </c>
      <c r="R44" s="2">
        <f t="shared" si="15"/>
        <v>9.933982388357937E-2</v>
      </c>
      <c r="V44">
        <v>3</v>
      </c>
      <c r="W44" s="2">
        <v>0.24313683906787201</v>
      </c>
      <c r="X44" s="2">
        <v>0.17571731500326448</v>
      </c>
      <c r="Y44" s="2">
        <v>0.12739361628455298</v>
      </c>
      <c r="AA44" s="2">
        <f t="shared" si="16"/>
        <v>6.7419524064607522E-2</v>
      </c>
      <c r="AB44" s="2">
        <f t="shared" si="17"/>
        <v>0.11574322278331903</v>
      </c>
    </row>
    <row r="45" spans="1:28" x14ac:dyDescent="0.25">
      <c r="B45">
        <v>4</v>
      </c>
      <c r="C45" s="2">
        <v>0.6010895368011564</v>
      </c>
      <c r="D45" s="2">
        <v>0.47380719427154033</v>
      </c>
      <c r="E45" s="2">
        <v>0.53682652879646342</v>
      </c>
      <c r="G45" s="2">
        <f t="shared" si="12"/>
        <v>0.12728234252961607</v>
      </c>
      <c r="H45" s="2">
        <f t="shared" si="13"/>
        <v>6.4263008004692979E-2</v>
      </c>
      <c r="J45" s="2"/>
      <c r="L45">
        <v>4</v>
      </c>
      <c r="M45" s="2">
        <v>0.41912526947983331</v>
      </c>
      <c r="N45" s="2">
        <v>0.24255902840516599</v>
      </c>
      <c r="O45" s="2">
        <v>0.28973605513870365</v>
      </c>
      <c r="Q45" s="2">
        <f t="shared" si="14"/>
        <v>0.17656624107466731</v>
      </c>
      <c r="R45" s="2">
        <f t="shared" si="15"/>
        <v>0.12938921434112965</v>
      </c>
      <c r="V45">
        <v>4</v>
      </c>
      <c r="W45" s="2">
        <v>0.39416654424585601</v>
      </c>
      <c r="X45" s="2">
        <v>0.27027815594962995</v>
      </c>
      <c r="Y45" s="2">
        <v>0.30302851813621867</v>
      </c>
      <c r="AA45" s="2">
        <f t="shared" si="16"/>
        <v>0.12388838829622606</v>
      </c>
      <c r="AB45" s="2">
        <f t="shared" si="17"/>
        <v>9.1138026109637338E-2</v>
      </c>
    </row>
    <row r="46" spans="1:28" x14ac:dyDescent="0.25">
      <c r="B46">
        <v>5</v>
      </c>
      <c r="C46" s="2">
        <v>0.61440687266401062</v>
      </c>
      <c r="D46" s="2">
        <v>0.54735481172600708</v>
      </c>
      <c r="E46" s="2">
        <v>0.55114337082313469</v>
      </c>
      <c r="G46" s="2">
        <f t="shared" si="12"/>
        <v>6.7052060938003533E-2</v>
      </c>
      <c r="H46" s="2">
        <f t="shared" si="13"/>
        <v>6.3263501840875924E-2</v>
      </c>
      <c r="J46" s="2"/>
      <c r="L46">
        <v>5</v>
      </c>
      <c r="M46" s="2">
        <v>0.44111319408235999</v>
      </c>
      <c r="N46" s="2">
        <v>0.37635492287145639</v>
      </c>
      <c r="O46" s="2">
        <v>0.45263125338301835</v>
      </c>
      <c r="Q46" s="2">
        <f t="shared" si="14"/>
        <v>6.4758271210903606E-2</v>
      </c>
      <c r="R46" s="2">
        <f t="shared" si="15"/>
        <v>-1.1518059300658356E-2</v>
      </c>
      <c r="V46">
        <v>5</v>
      </c>
      <c r="W46" s="2">
        <v>0.28054516500820004</v>
      </c>
      <c r="X46" s="2">
        <v>0.28381790866989265</v>
      </c>
      <c r="Y46" s="2">
        <v>0.26932182429106433</v>
      </c>
      <c r="AA46" s="2">
        <f t="shared" si="16"/>
        <v>-3.272743661692612E-3</v>
      </c>
      <c r="AB46" s="2">
        <f t="shared" si="17"/>
        <v>1.122334071713571E-2</v>
      </c>
    </row>
    <row r="47" spans="1:28" x14ac:dyDescent="0.25">
      <c r="B47">
        <v>6</v>
      </c>
      <c r="C47" s="2">
        <v>0.67957090507860995</v>
      </c>
      <c r="D47" s="2">
        <v>0.65979889756003163</v>
      </c>
      <c r="E47" s="2">
        <v>0.696239325418889</v>
      </c>
      <c r="G47" s="2">
        <f t="shared" si="12"/>
        <v>1.9772007518578327E-2</v>
      </c>
      <c r="H47" s="2">
        <f t="shared" si="13"/>
        <v>-1.6668420340279044E-2</v>
      </c>
      <c r="J47" s="2"/>
      <c r="L47">
        <v>6</v>
      </c>
      <c r="M47" s="2">
        <v>0.48041275068770367</v>
      </c>
      <c r="N47" s="2">
        <v>0.422087724805289</v>
      </c>
      <c r="O47" s="2">
        <v>0.49062954116360863</v>
      </c>
      <c r="Q47" s="2">
        <f t="shared" si="14"/>
        <v>5.8325025882414672E-2</v>
      </c>
      <c r="R47" s="2">
        <f t="shared" si="15"/>
        <v>-1.0216790475904958E-2</v>
      </c>
      <c r="V47">
        <v>6</v>
      </c>
      <c r="W47" s="2">
        <v>0.39908351034179296</v>
      </c>
      <c r="X47" s="2">
        <v>0.37054582564889066</v>
      </c>
      <c r="Y47" s="2">
        <v>0.38679597402968163</v>
      </c>
      <c r="AA47" s="2">
        <f t="shared" si="16"/>
        <v>2.8537684692902299E-2</v>
      </c>
      <c r="AB47" s="2">
        <f t="shared" si="17"/>
        <v>1.2287536312111325E-2</v>
      </c>
    </row>
    <row r="48" spans="1:28" x14ac:dyDescent="0.25">
      <c r="B48">
        <v>7</v>
      </c>
      <c r="C48" s="2">
        <v>0.56563479038734599</v>
      </c>
      <c r="D48" s="2">
        <v>0.55344184095455995</v>
      </c>
      <c r="E48" s="2">
        <v>0.53276832355088866</v>
      </c>
      <c r="G48" s="2">
        <f t="shared" si="12"/>
        <v>1.2192949432786038E-2</v>
      </c>
      <c r="H48" s="2">
        <f t="shared" si="13"/>
        <v>3.2866466836457331E-2</v>
      </c>
      <c r="J48" s="2"/>
      <c r="L48">
        <v>7</v>
      </c>
      <c r="M48" s="2">
        <v>0.39928241369203565</v>
      </c>
      <c r="N48" s="2">
        <v>0.30884273050566002</v>
      </c>
      <c r="O48" s="2">
        <v>0.28559601370441362</v>
      </c>
      <c r="Q48" s="2">
        <f t="shared" si="14"/>
        <v>9.043968318637563E-2</v>
      </c>
      <c r="R48" s="2">
        <f t="shared" si="15"/>
        <v>0.11368639998762203</v>
      </c>
      <c r="V48">
        <v>7</v>
      </c>
      <c r="W48" s="2">
        <v>0.14200252084104151</v>
      </c>
      <c r="X48" s="2">
        <v>0.257348247420423</v>
      </c>
      <c r="Y48" s="2">
        <v>0.208496813106997</v>
      </c>
      <c r="AA48" s="2">
        <f t="shared" si="16"/>
        <v>-0.1153457265793815</v>
      </c>
      <c r="AB48" s="2">
        <f t="shared" si="17"/>
        <v>-6.649429226595549E-2</v>
      </c>
    </row>
    <row r="49" spans="1:28" x14ac:dyDescent="0.25">
      <c r="B49">
        <v>8</v>
      </c>
      <c r="C49" s="2">
        <v>0.64288368247563465</v>
      </c>
      <c r="D49" s="2">
        <v>0.65550816815931834</v>
      </c>
      <c r="E49" s="2">
        <v>0.64753902202818636</v>
      </c>
      <c r="G49" s="2">
        <f t="shared" si="12"/>
        <v>-1.2624485683683684E-2</v>
      </c>
      <c r="H49" s="2">
        <f t="shared" si="13"/>
        <v>-4.6553395525517072E-3</v>
      </c>
      <c r="J49" s="2"/>
      <c r="L49">
        <v>8</v>
      </c>
      <c r="M49" s="2">
        <v>0.47686776736292896</v>
      </c>
      <c r="N49" s="2">
        <v>0.39986644304079366</v>
      </c>
      <c r="O49" s="2">
        <v>0.49026915512515368</v>
      </c>
      <c r="Q49" s="2">
        <f t="shared" si="14"/>
        <v>7.7001324322135301E-2</v>
      </c>
      <c r="R49" s="2">
        <f t="shared" si="15"/>
        <v>-1.3401387762224715E-2</v>
      </c>
      <c r="V49">
        <v>8</v>
      </c>
      <c r="W49" s="2">
        <v>0.40664527507990639</v>
      </c>
      <c r="X49" s="2">
        <v>0.44577848969935668</v>
      </c>
      <c r="Y49" s="2">
        <v>0.35992092002959536</v>
      </c>
      <c r="AA49" s="2">
        <f t="shared" si="16"/>
        <v>-3.9133214619450296E-2</v>
      </c>
      <c r="AB49" s="2">
        <f t="shared" si="17"/>
        <v>4.6724355050311028E-2</v>
      </c>
    </row>
    <row r="50" spans="1:28" x14ac:dyDescent="0.25">
      <c r="B50">
        <v>9</v>
      </c>
      <c r="C50" s="2">
        <v>0.64796944679868063</v>
      </c>
      <c r="D50" s="2">
        <v>0.66394709563825471</v>
      </c>
      <c r="E50" s="2">
        <v>0.6022239075967587</v>
      </c>
      <c r="G50" s="2">
        <f t="shared" si="12"/>
        <v>-1.5977648839574088E-2</v>
      </c>
      <c r="H50" s="2">
        <f t="shared" si="13"/>
        <v>4.5745539201921925E-2</v>
      </c>
      <c r="J50" s="2"/>
      <c r="L50">
        <v>9</v>
      </c>
      <c r="M50" s="2">
        <v>0.36230840040974738</v>
      </c>
      <c r="N50" s="2">
        <v>0.37505098610899995</v>
      </c>
      <c r="O50" s="2">
        <v>0.362804275697518</v>
      </c>
      <c r="Q50" s="2">
        <f t="shared" si="14"/>
        <v>-1.2742585699252573E-2</v>
      </c>
      <c r="R50" s="2">
        <f t="shared" si="15"/>
        <v>-4.9587528777061962E-4</v>
      </c>
      <c r="V50">
        <v>9</v>
      </c>
      <c r="W50" s="2">
        <v>0.31727896694342866</v>
      </c>
      <c r="X50" s="2">
        <v>0.22878410751960968</v>
      </c>
      <c r="Y50" s="2">
        <v>0.34621116001547997</v>
      </c>
      <c r="AA50" s="2">
        <f t="shared" si="16"/>
        <v>8.8494859423818989E-2</v>
      </c>
      <c r="AB50" s="2">
        <f t="shared" si="17"/>
        <v>-2.8932193072051304E-2</v>
      </c>
    </row>
    <row r="51" spans="1:28" x14ac:dyDescent="0.25">
      <c r="B51">
        <v>10</v>
      </c>
      <c r="C51" s="2">
        <v>0.63128186991070367</v>
      </c>
      <c r="D51" s="2">
        <v>0.50715654097976537</v>
      </c>
      <c r="E51" s="2">
        <v>0.47011502959498869</v>
      </c>
      <c r="G51" s="2">
        <f t="shared" si="12"/>
        <v>0.12412532893093831</v>
      </c>
      <c r="H51" s="2">
        <f t="shared" si="13"/>
        <v>0.16116684031571499</v>
      </c>
      <c r="J51" s="2"/>
      <c r="L51">
        <v>10</v>
      </c>
      <c r="M51" s="2">
        <v>0.48156213104845902</v>
      </c>
      <c r="N51" s="2">
        <v>0.44070899761937632</v>
      </c>
      <c r="O51" s="2">
        <v>0.44788418651369294</v>
      </c>
      <c r="Q51" s="2">
        <f t="shared" si="14"/>
        <v>4.08531334290827E-2</v>
      </c>
      <c r="R51" s="2">
        <f t="shared" si="15"/>
        <v>3.367794453476608E-2</v>
      </c>
      <c r="V51">
        <v>10</v>
      </c>
      <c r="W51" s="2">
        <v>0.48330825989291171</v>
      </c>
      <c r="X51" s="2">
        <v>0.38613400712350293</v>
      </c>
      <c r="Y51" s="2">
        <v>0.39171464894991931</v>
      </c>
      <c r="AA51" s="2">
        <f t="shared" si="16"/>
        <v>9.7174252769408775E-2</v>
      </c>
      <c r="AB51" s="2">
        <f t="shared" si="17"/>
        <v>9.1593610942992398E-2</v>
      </c>
    </row>
    <row r="52" spans="1:28" x14ac:dyDescent="0.25">
      <c r="B52">
        <v>11</v>
      </c>
      <c r="C52" s="2">
        <v>0.64968726521970099</v>
      </c>
      <c r="D52" s="2">
        <v>0.55796450600577996</v>
      </c>
      <c r="E52" s="2">
        <v>0.6316447538403277</v>
      </c>
      <c r="G52" s="2">
        <f t="shared" si="12"/>
        <v>9.1722759213921035E-2</v>
      </c>
      <c r="H52" s="2">
        <f t="shared" si="13"/>
        <v>1.8042511379373294E-2</v>
      </c>
      <c r="J52" s="2"/>
      <c r="L52">
        <v>11</v>
      </c>
      <c r="M52" s="2">
        <v>0.47049793442115168</v>
      </c>
      <c r="N52" s="2">
        <v>0.48428168384684467</v>
      </c>
      <c r="O52" s="2">
        <v>0.42595906595996769</v>
      </c>
      <c r="Q52" s="2">
        <f t="shared" si="14"/>
        <v>-1.3783749425692993E-2</v>
      </c>
      <c r="R52" s="2">
        <f t="shared" si="15"/>
        <v>4.4538868461183989E-2</v>
      </c>
      <c r="V52">
        <v>11</v>
      </c>
      <c r="W52" s="2">
        <v>0.35491375445143203</v>
      </c>
      <c r="X52" s="2">
        <v>0.34005330605183864</v>
      </c>
      <c r="Y52" s="2">
        <v>0.34518093181636073</v>
      </c>
      <c r="AA52" s="2">
        <f t="shared" si="16"/>
        <v>1.4860448399593384E-2</v>
      </c>
      <c r="AB52" s="2">
        <f t="shared" si="17"/>
        <v>9.7328226350713032E-3</v>
      </c>
    </row>
    <row r="53" spans="1:28" x14ac:dyDescent="0.25">
      <c r="B53">
        <v>12</v>
      </c>
      <c r="C53" s="2">
        <v>0.6360061270359213</v>
      </c>
      <c r="D53" s="2">
        <v>0.64317924522669001</v>
      </c>
      <c r="E53" s="2">
        <v>0.57703814185307867</v>
      </c>
      <c r="G53" s="2">
        <f t="shared" si="12"/>
        <v>-7.1731181907687125E-3</v>
      </c>
      <c r="H53" s="2">
        <f t="shared" si="13"/>
        <v>5.896798518284263E-2</v>
      </c>
      <c r="J53" s="2"/>
      <c r="L53">
        <v>12</v>
      </c>
      <c r="M53" s="2">
        <v>0.53401089314667838</v>
      </c>
      <c r="N53" s="2">
        <v>0.47429798207935864</v>
      </c>
      <c r="O53" s="2">
        <v>0.42608308151878599</v>
      </c>
      <c r="Q53" s="2">
        <f t="shared" si="14"/>
        <v>5.9712911067319741E-2</v>
      </c>
      <c r="R53" s="2">
        <f t="shared" si="15"/>
        <v>0.10792781162789239</v>
      </c>
      <c r="V53">
        <v>12</v>
      </c>
      <c r="W53" s="2">
        <v>0.47499054401882707</v>
      </c>
      <c r="X53" s="2">
        <v>0.48217789682301698</v>
      </c>
      <c r="Y53" s="2">
        <v>0.2173413676623365</v>
      </c>
      <c r="AA53" s="2">
        <f t="shared" si="16"/>
        <v>-7.1873528041899171E-3</v>
      </c>
      <c r="AB53" s="2">
        <f t="shared" si="17"/>
        <v>0.25764917635649054</v>
      </c>
    </row>
    <row r="55" spans="1:28" x14ac:dyDescent="0.25">
      <c r="A55" s="2"/>
      <c r="B55" s="2"/>
      <c r="C55" s="2">
        <f>AVERAGE(C42:C53)</f>
        <v>0.62939511029422068</v>
      </c>
      <c r="D55" s="2">
        <f>AVERAGE(D42:D53)</f>
        <v>0.59649339546436764</v>
      </c>
      <c r="E55" s="2">
        <f>AVERAGE(E42:E53)</f>
        <v>0.57495802554368181</v>
      </c>
      <c r="F55" s="2"/>
      <c r="G55" s="2">
        <f>AVERAGE(G42:G53)</f>
        <v>3.2901714829853039E-2</v>
      </c>
      <c r="H55" s="2">
        <f>AVERAGE(H42:H53)</f>
        <v>5.4437084750538885E-2</v>
      </c>
      <c r="I55" s="2"/>
      <c r="J55" s="2"/>
      <c r="K55" s="2"/>
      <c r="L55" s="2"/>
      <c r="M55" s="2">
        <f>AVERAGE(M42:M53)</f>
        <v>0.44494556167082971</v>
      </c>
      <c r="N55" s="2">
        <f>AVERAGE(N42:N53)</f>
        <v>0.39923021459741775</v>
      </c>
      <c r="O55" s="2">
        <f>AVERAGE(O42:O53)</f>
        <v>0.40280203209167947</v>
      </c>
      <c r="P55" s="2"/>
      <c r="Q55" s="2">
        <f>AVERAGE(Q42:Q53)</f>
        <v>4.5715347073411822E-2</v>
      </c>
      <c r="R55" s="2">
        <f>AVERAGE(R42:R53)</f>
        <v>4.2143529579150123E-2</v>
      </c>
      <c r="S55" s="2"/>
      <c r="T55" s="2"/>
      <c r="U55" s="2"/>
      <c r="V55" s="2"/>
      <c r="W55" s="2">
        <f>AVERAGE(W42:W53)</f>
        <v>0.37213326293044008</v>
      </c>
      <c r="X55" s="2">
        <f>AVERAGE(X42:X53)</f>
        <v>0.33350048587358616</v>
      </c>
      <c r="Y55" s="2">
        <f>AVERAGE(Y42:Y53)</f>
        <v>0.30265035665329704</v>
      </c>
      <c r="Z55" s="2"/>
      <c r="AA55" s="2">
        <f>AVERAGE(AA42:AA53)</f>
        <v>3.8632777056853917E-2</v>
      </c>
      <c r="AB55" s="2">
        <f>AVERAGE(AB42:AB53)</f>
        <v>6.9482906277142945E-2</v>
      </c>
    </row>
    <row r="56" spans="1:28" x14ac:dyDescent="0.25">
      <c r="A56" s="2"/>
      <c r="B56" s="2"/>
      <c r="C56" s="2">
        <f>STDEV(C42:C53)</f>
        <v>3.6840127358346519E-2</v>
      </c>
      <c r="D56" s="2">
        <f>STDEV(D42:D53)</f>
        <v>7.2201227774849844E-2</v>
      </c>
      <c r="E56" s="2">
        <f>STDEV(E42:E53)</f>
        <v>7.3646919387426318E-2</v>
      </c>
      <c r="F56" s="2"/>
      <c r="G56" s="2">
        <f>STDEV(G42:G53)</f>
        <v>5.7725132715798218E-2</v>
      </c>
      <c r="H56" s="2">
        <f>STDEV(H42:H53)</f>
        <v>5.4498946274426356E-2</v>
      </c>
      <c r="I56" s="2"/>
      <c r="J56" s="2"/>
      <c r="K56" s="2"/>
      <c r="L56" s="2"/>
      <c r="M56" s="2">
        <f>STDEV(M42:M53)</f>
        <v>5.4343746186559509E-2</v>
      </c>
      <c r="N56" s="2">
        <f>STDEV(N42:N53)</f>
        <v>9.1972077896731272E-2</v>
      </c>
      <c r="O56" s="2">
        <f>STDEV(O42:O53)</f>
        <v>8.8421381677307884E-2</v>
      </c>
      <c r="P56" s="2"/>
      <c r="Q56" s="2">
        <f>STDEV(Q42:Q53)</f>
        <v>6.4156535588379152E-2</v>
      </c>
      <c r="R56" s="2">
        <f>STDEV(R42:R53)</f>
        <v>6.2163117427230644E-2</v>
      </c>
      <c r="S56" s="2"/>
      <c r="T56" s="2"/>
      <c r="U56" s="2"/>
      <c r="V56" s="2"/>
      <c r="W56" s="2">
        <f>STDEV(W42:W53)</f>
        <v>0.11476839901587514</v>
      </c>
      <c r="X56" s="2">
        <f>STDEV(X42:X53)</f>
        <v>9.1655225779676525E-2</v>
      </c>
      <c r="Y56" s="2">
        <f>STDEV(Y42:Y53)</f>
        <v>8.4623786118024527E-2</v>
      </c>
      <c r="Z56" s="2"/>
      <c r="AA56" s="2">
        <f>STDEV(AA42:AA53)</f>
        <v>7.6121876784824183E-2</v>
      </c>
      <c r="AB56" s="2">
        <f>STDEV(AB42:AB53)</f>
        <v>0.10722194007609979</v>
      </c>
    </row>
    <row r="60" spans="1:28" x14ac:dyDescent="0.25">
      <c r="A60" t="s">
        <v>18</v>
      </c>
      <c r="G60" t="s">
        <v>14</v>
      </c>
      <c r="H60" t="s">
        <v>15</v>
      </c>
      <c r="K60" t="s">
        <v>18</v>
      </c>
      <c r="Q60" t="s">
        <v>14</v>
      </c>
      <c r="R60" t="s">
        <v>15</v>
      </c>
      <c r="U60" t="s">
        <v>18</v>
      </c>
      <c r="AA60" t="s">
        <v>14</v>
      </c>
      <c r="AB60" t="s">
        <v>15</v>
      </c>
    </row>
    <row r="61" spans="1:28" x14ac:dyDescent="0.25">
      <c r="A61" s="1">
        <v>0.25</v>
      </c>
      <c r="B61" t="s">
        <v>1</v>
      </c>
      <c r="C61" t="s">
        <v>29</v>
      </c>
      <c r="D61" t="s">
        <v>30</v>
      </c>
      <c r="E61" t="s">
        <v>31</v>
      </c>
      <c r="G61" t="s">
        <v>13</v>
      </c>
      <c r="H61" t="s">
        <v>13</v>
      </c>
      <c r="J61" s="1"/>
      <c r="K61" s="1">
        <v>0.5</v>
      </c>
      <c r="L61" t="s">
        <v>1</v>
      </c>
      <c r="M61" t="s">
        <v>29</v>
      </c>
      <c r="N61" t="s">
        <v>30</v>
      </c>
      <c r="O61" t="s">
        <v>31</v>
      </c>
      <c r="Q61" t="s">
        <v>13</v>
      </c>
      <c r="R61" t="s">
        <v>13</v>
      </c>
      <c r="U61" s="1">
        <v>0.75</v>
      </c>
      <c r="V61" t="s">
        <v>1</v>
      </c>
      <c r="W61" t="s">
        <v>29</v>
      </c>
      <c r="X61" t="s">
        <v>30</v>
      </c>
      <c r="Y61" t="s">
        <v>31</v>
      </c>
      <c r="AA61" t="s">
        <v>13</v>
      </c>
      <c r="AB61" t="s">
        <v>13</v>
      </c>
    </row>
    <row r="62" spans="1:28" x14ac:dyDescent="0.25">
      <c r="B62">
        <v>1</v>
      </c>
      <c r="C62" s="2">
        <v>0.62006468968214867</v>
      </c>
      <c r="D62" s="2">
        <v>0.67722490711404426</v>
      </c>
      <c r="E62" s="2">
        <v>0.55510618949073665</v>
      </c>
      <c r="G62" s="2">
        <f>C62-D62</f>
        <v>-5.7160217431895588E-2</v>
      </c>
      <c r="H62" s="2">
        <f>C62-E62</f>
        <v>6.4958500191412027E-2</v>
      </c>
      <c r="J62" s="2"/>
      <c r="L62">
        <v>1</v>
      </c>
      <c r="M62" s="2">
        <v>0.57628913537581028</v>
      </c>
      <c r="N62" s="2">
        <v>0.55409767879832394</v>
      </c>
      <c r="O62" s="2">
        <v>0.49274542618409067</v>
      </c>
      <c r="Q62" s="2">
        <f>M62-N62</f>
        <v>2.2191456577486335E-2</v>
      </c>
      <c r="R62" s="2">
        <f>M62-O62</f>
        <v>8.3543709191719606E-2</v>
      </c>
      <c r="V62">
        <v>1</v>
      </c>
      <c r="W62" s="2">
        <v>0.45103207549369034</v>
      </c>
      <c r="X62" s="2">
        <v>0.4144218707046527</v>
      </c>
      <c r="Y62" s="2">
        <v>0.26919956982233334</v>
      </c>
      <c r="AA62" s="2">
        <f>W62-X62</f>
        <v>3.6610204789037648E-2</v>
      </c>
      <c r="AB62" s="2">
        <f>W62-Y62</f>
        <v>0.181832505671357</v>
      </c>
    </row>
    <row r="63" spans="1:28" x14ac:dyDescent="0.25">
      <c r="B63">
        <v>2</v>
      </c>
      <c r="C63" s="2">
        <v>0.676910091258073</v>
      </c>
      <c r="D63" s="2">
        <v>0.64680590963687068</v>
      </c>
      <c r="E63" s="2">
        <v>0.61547432853238859</v>
      </c>
      <c r="G63" s="2">
        <f t="shared" ref="G63:G73" si="18">C63-D63</f>
        <v>3.0104181621202319E-2</v>
      </c>
      <c r="H63" s="2">
        <f t="shared" ref="H63:H73" si="19">C63-E63</f>
        <v>6.1435762725684406E-2</v>
      </c>
      <c r="J63" s="2"/>
      <c r="L63">
        <v>2</v>
      </c>
      <c r="M63" s="2">
        <v>0.46738295127195001</v>
      </c>
      <c r="N63" s="2">
        <v>0.50556722649703567</v>
      </c>
      <c r="O63" s="2">
        <v>0.54979491533170666</v>
      </c>
      <c r="Q63" s="2">
        <f t="shared" ref="Q63:Q73" si="20">M63-N63</f>
        <v>-3.8184275225085662E-2</v>
      </c>
      <c r="R63" s="2">
        <f t="shared" ref="R63:R73" si="21">M63-O63</f>
        <v>-8.2411964059756648E-2</v>
      </c>
      <c r="V63">
        <v>2</v>
      </c>
      <c r="W63" s="2">
        <v>0.48101936987170163</v>
      </c>
      <c r="X63" s="2">
        <v>0.44572534743290637</v>
      </c>
      <c r="Y63" s="2">
        <v>0.43041473079499698</v>
      </c>
      <c r="AA63" s="2">
        <f t="shared" ref="AA63:AA73" si="22">W63-X63</f>
        <v>3.5294022438795258E-2</v>
      </c>
      <c r="AB63" s="2">
        <f t="shared" ref="AB63:AB73" si="23">W63-Y63</f>
        <v>5.0604639076704649E-2</v>
      </c>
    </row>
    <row r="64" spans="1:28" x14ac:dyDescent="0.25">
      <c r="B64">
        <v>3</v>
      </c>
      <c r="C64" s="2">
        <v>0.49641934063989135</v>
      </c>
      <c r="D64" s="2">
        <v>0.48739025165068867</v>
      </c>
      <c r="E64" s="2">
        <v>0.51740463674310166</v>
      </c>
      <c r="G64" s="2">
        <f t="shared" si="18"/>
        <v>9.0290889892026827E-3</v>
      </c>
      <c r="H64" s="2">
        <f t="shared" si="19"/>
        <v>-2.0985296103210316E-2</v>
      </c>
      <c r="J64" s="2"/>
      <c r="L64">
        <v>3</v>
      </c>
      <c r="M64" s="2">
        <v>0.42113216887320432</v>
      </c>
      <c r="N64" s="2">
        <v>0.33105306232759651</v>
      </c>
      <c r="O64" s="2">
        <v>0.33249541003227151</v>
      </c>
      <c r="Q64" s="2">
        <f t="shared" si="20"/>
        <v>9.0079106545607801E-2</v>
      </c>
      <c r="R64" s="2">
        <f t="shared" si="21"/>
        <v>8.8636758840932806E-2</v>
      </c>
      <c r="V64">
        <v>3</v>
      </c>
      <c r="W64" s="2">
        <v>0.24877373373770101</v>
      </c>
      <c r="X64" s="2">
        <v>0.24556642659578798</v>
      </c>
      <c r="Y64" s="2">
        <v>0.21499080945972868</v>
      </c>
      <c r="AA64" s="2">
        <f t="shared" si="22"/>
        <v>3.2073071419130295E-3</v>
      </c>
      <c r="AB64" s="2">
        <f t="shared" si="23"/>
        <v>3.3782924277972332E-2</v>
      </c>
    </row>
    <row r="65" spans="1:28" x14ac:dyDescent="0.25">
      <c r="B65">
        <v>4</v>
      </c>
      <c r="C65" s="2">
        <v>0.41286686997736166</v>
      </c>
      <c r="D65" s="2">
        <v>0.51601874454650032</v>
      </c>
      <c r="E65" s="2">
        <v>0.5</v>
      </c>
      <c r="G65" s="2">
        <f t="shared" si="18"/>
        <v>-0.10315187456913866</v>
      </c>
      <c r="H65" s="2">
        <f t="shared" si="19"/>
        <v>-8.7133130022638339E-2</v>
      </c>
      <c r="J65" s="2"/>
      <c r="L65">
        <v>4</v>
      </c>
      <c r="M65" s="2">
        <v>0.24525627510193529</v>
      </c>
      <c r="N65" s="2">
        <v>0.27646520941802466</v>
      </c>
      <c r="O65" s="2">
        <v>0.27469374560875398</v>
      </c>
      <c r="Q65" s="2">
        <f t="shared" si="20"/>
        <v>-3.1208934316089371E-2</v>
      </c>
      <c r="R65" s="2">
        <f t="shared" si="21"/>
        <v>-2.9437470506818691E-2</v>
      </c>
      <c r="V65">
        <v>4</v>
      </c>
      <c r="W65" s="2">
        <v>0.28035745855984934</v>
      </c>
      <c r="X65" s="2">
        <v>0.18633707940139665</v>
      </c>
      <c r="Y65" s="2">
        <v>0.24307453772383833</v>
      </c>
      <c r="AA65" s="2">
        <f t="shared" si="22"/>
        <v>9.4020379158452683E-2</v>
      </c>
      <c r="AB65" s="2">
        <f t="shared" si="23"/>
        <v>3.7282920836011008E-2</v>
      </c>
    </row>
    <row r="66" spans="1:28" x14ac:dyDescent="0.25">
      <c r="B66">
        <v>5</v>
      </c>
      <c r="C66" s="2">
        <v>0.54794206270590662</v>
      </c>
      <c r="D66" s="2">
        <v>0.45367863519750234</v>
      </c>
      <c r="E66" s="2">
        <v>0.49569579037299599</v>
      </c>
      <c r="G66" s="2">
        <f t="shared" si="18"/>
        <v>9.4263427508404274E-2</v>
      </c>
      <c r="H66" s="2">
        <f t="shared" si="19"/>
        <v>5.2246272332910626E-2</v>
      </c>
      <c r="J66" s="2"/>
      <c r="L66">
        <v>5</v>
      </c>
      <c r="M66" s="2">
        <v>0.42448813738521601</v>
      </c>
      <c r="N66" s="2">
        <v>0.33237404900927164</v>
      </c>
      <c r="O66" s="2">
        <v>0.31875521747107</v>
      </c>
      <c r="Q66" s="2">
        <f t="shared" si="20"/>
        <v>9.211408837594437E-2</v>
      </c>
      <c r="R66" s="2">
        <f t="shared" si="21"/>
        <v>0.10573291991414602</v>
      </c>
      <c r="V66">
        <v>5</v>
      </c>
      <c r="W66" s="2">
        <v>0.31650625555749229</v>
      </c>
      <c r="X66" s="2">
        <v>0.295173438228442</v>
      </c>
      <c r="Y66" s="2">
        <v>0.28618317768394302</v>
      </c>
      <c r="AA66" s="2">
        <f t="shared" si="22"/>
        <v>2.1332817329050291E-2</v>
      </c>
      <c r="AB66" s="2">
        <f t="shared" si="23"/>
        <v>3.0323077873549265E-2</v>
      </c>
    </row>
    <row r="67" spans="1:28" x14ac:dyDescent="0.25">
      <c r="B67">
        <v>6</v>
      </c>
      <c r="C67" s="2">
        <v>0.60087153055323494</v>
      </c>
      <c r="D67" s="2">
        <v>0.638354679284865</v>
      </c>
      <c r="E67" s="2">
        <v>0.61899946439083031</v>
      </c>
      <c r="G67" s="2">
        <f t="shared" si="18"/>
        <v>-3.7483148731630056E-2</v>
      </c>
      <c r="H67" s="2">
        <f t="shared" si="19"/>
        <v>-1.8127933837595367E-2</v>
      </c>
      <c r="J67" s="2"/>
      <c r="L67">
        <v>6</v>
      </c>
      <c r="M67" s="2">
        <v>0.46964277838820134</v>
      </c>
      <c r="N67" s="2">
        <v>0.37796251058344404</v>
      </c>
      <c r="O67" s="2">
        <v>0.48373029188477967</v>
      </c>
      <c r="Q67" s="2">
        <f t="shared" si="20"/>
        <v>9.1680267804757298E-2</v>
      </c>
      <c r="R67" s="2">
        <f t="shared" si="21"/>
        <v>-1.408751349657833E-2</v>
      </c>
      <c r="V67">
        <v>6</v>
      </c>
      <c r="W67" s="2">
        <v>0.46816980664150054</v>
      </c>
      <c r="X67" s="2">
        <v>0.33071857133312599</v>
      </c>
      <c r="Y67" s="2">
        <v>0.37666975582326601</v>
      </c>
      <c r="AA67" s="2">
        <f t="shared" si="22"/>
        <v>0.13745123530837455</v>
      </c>
      <c r="AB67" s="2">
        <f t="shared" si="23"/>
        <v>9.1500050818234535E-2</v>
      </c>
    </row>
    <row r="68" spans="1:28" x14ac:dyDescent="0.25">
      <c r="B68">
        <v>7</v>
      </c>
      <c r="C68" s="2">
        <v>0.51946740418739235</v>
      </c>
      <c r="D68" s="2">
        <v>0.579688240736972</v>
      </c>
      <c r="E68" s="2">
        <v>0.45983748340853398</v>
      </c>
      <c r="G68" s="2">
        <f t="shared" si="18"/>
        <v>-6.0220836549579659E-2</v>
      </c>
      <c r="H68" s="2">
        <f t="shared" si="19"/>
        <v>5.962992077885837E-2</v>
      </c>
      <c r="J68" s="2"/>
      <c r="L68">
        <v>7</v>
      </c>
      <c r="M68" s="2">
        <v>0.34022877062175133</v>
      </c>
      <c r="N68" s="2">
        <v>0.28751290602272733</v>
      </c>
      <c r="O68" s="2">
        <v>0.363722265258142</v>
      </c>
      <c r="Q68" s="2">
        <f t="shared" si="20"/>
        <v>5.2715864599023998E-2</v>
      </c>
      <c r="R68" s="2">
        <f t="shared" si="21"/>
        <v>-2.3493494636390666E-2</v>
      </c>
      <c r="V68">
        <v>7</v>
      </c>
      <c r="W68" s="2">
        <v>0.221318794787424</v>
      </c>
      <c r="X68" s="2">
        <v>0.16059888902053435</v>
      </c>
      <c r="Y68" s="2">
        <v>0.30267311669496166</v>
      </c>
      <c r="AA68" s="2">
        <f t="shared" si="22"/>
        <v>6.0719905766889654E-2</v>
      </c>
      <c r="AB68" s="2">
        <f t="shared" si="23"/>
        <v>-8.1354321907537663E-2</v>
      </c>
    </row>
    <row r="69" spans="1:28" x14ac:dyDescent="0.25">
      <c r="B69">
        <v>8</v>
      </c>
      <c r="C69" s="2">
        <v>0.68621995609862785</v>
      </c>
      <c r="D69" s="2">
        <v>0.70877352913392822</v>
      </c>
      <c r="E69" s="2">
        <v>0.67717240199639794</v>
      </c>
      <c r="G69" s="2">
        <f t="shared" si="18"/>
        <v>-2.2553573035300367E-2</v>
      </c>
      <c r="H69" s="2">
        <f t="shared" si="19"/>
        <v>9.0475541022299044E-3</v>
      </c>
      <c r="J69" s="2"/>
      <c r="L69">
        <v>8</v>
      </c>
      <c r="M69" s="2">
        <v>0.471604028749466</v>
      </c>
      <c r="N69" s="2">
        <v>0.47250977019365231</v>
      </c>
      <c r="O69" s="2">
        <v>0.42261897522549702</v>
      </c>
      <c r="Q69" s="2">
        <f t="shared" si="20"/>
        <v>-9.057414441863143E-4</v>
      </c>
      <c r="R69" s="2">
        <f t="shared" si="21"/>
        <v>4.898505352396898E-2</v>
      </c>
      <c r="V69">
        <v>8</v>
      </c>
      <c r="W69" s="2">
        <v>0.41118285180152464</v>
      </c>
      <c r="X69" s="2">
        <v>0.29528896183384074</v>
      </c>
      <c r="Y69" s="2">
        <v>0.32964380038180902</v>
      </c>
      <c r="AA69" s="2">
        <f t="shared" si="22"/>
        <v>0.11589388996768391</v>
      </c>
      <c r="AB69" s="2">
        <f t="shared" si="23"/>
        <v>8.1539051419715625E-2</v>
      </c>
    </row>
    <row r="70" spans="1:28" x14ac:dyDescent="0.25">
      <c r="B70">
        <v>9</v>
      </c>
      <c r="C70" s="2">
        <v>0.52808036912884437</v>
      </c>
      <c r="D70" s="2">
        <v>0.47357238038563237</v>
      </c>
      <c r="E70" s="2">
        <v>0.48486608463967201</v>
      </c>
      <c r="G70" s="2">
        <f t="shared" si="18"/>
        <v>5.4507988743211999E-2</v>
      </c>
      <c r="H70" s="2">
        <f t="shared" si="19"/>
        <v>4.3214284489172361E-2</v>
      </c>
      <c r="J70" s="2"/>
      <c r="L70">
        <v>9</v>
      </c>
      <c r="M70" s="2">
        <v>0.39213733302393439</v>
      </c>
      <c r="N70" s="2">
        <v>0.3250087667505473</v>
      </c>
      <c r="O70" s="2">
        <v>0.309460177414143</v>
      </c>
      <c r="Q70" s="2">
        <f t="shared" si="20"/>
        <v>6.7128566273387091E-2</v>
      </c>
      <c r="R70" s="2">
        <f t="shared" si="21"/>
        <v>8.2677155609791386E-2</v>
      </c>
      <c r="V70">
        <v>9</v>
      </c>
      <c r="W70" s="2">
        <v>0.32041833488489452</v>
      </c>
      <c r="X70" s="2">
        <v>0.271416416386213</v>
      </c>
      <c r="Y70" s="2">
        <v>0.28934017649142035</v>
      </c>
      <c r="AA70" s="2">
        <f t="shared" si="22"/>
        <v>4.9001918498681518E-2</v>
      </c>
      <c r="AB70" s="2">
        <f t="shared" si="23"/>
        <v>3.1078158393474165E-2</v>
      </c>
    </row>
    <row r="71" spans="1:28" x14ac:dyDescent="0.25">
      <c r="B71">
        <v>10</v>
      </c>
      <c r="C71" s="2">
        <v>0.56664975855878275</v>
      </c>
      <c r="D71" s="2">
        <v>0.52635785255653589</v>
      </c>
      <c r="E71" s="2">
        <v>0.54728951748435595</v>
      </c>
      <c r="G71" s="2">
        <f t="shared" si="18"/>
        <v>4.0291906002246858E-2</v>
      </c>
      <c r="H71" s="2">
        <f t="shared" si="19"/>
        <v>1.9360241074426798E-2</v>
      </c>
      <c r="J71" s="2"/>
      <c r="L71">
        <v>10</v>
      </c>
      <c r="M71" s="2">
        <v>0.38927245675704469</v>
      </c>
      <c r="N71" s="2">
        <v>0.34064915435089871</v>
      </c>
      <c r="O71" s="2">
        <v>0.31575176888530465</v>
      </c>
      <c r="Q71" s="2">
        <f t="shared" si="20"/>
        <v>4.8623302406145985E-2</v>
      </c>
      <c r="R71" s="2">
        <f t="shared" si="21"/>
        <v>7.3520687871740042E-2</v>
      </c>
      <c r="V71">
        <v>10</v>
      </c>
      <c r="W71" s="2">
        <v>0.40344177198707548</v>
      </c>
      <c r="X71" s="2">
        <v>0.33986348218185897</v>
      </c>
      <c r="Y71" s="2">
        <v>0.36271903845129</v>
      </c>
      <c r="AA71" s="2">
        <f t="shared" si="22"/>
        <v>6.3578289805216515E-2</v>
      </c>
      <c r="AB71" s="2">
        <f t="shared" si="23"/>
        <v>4.0722733535785482E-2</v>
      </c>
    </row>
    <row r="72" spans="1:28" x14ac:dyDescent="0.25">
      <c r="B72">
        <v>11</v>
      </c>
      <c r="C72" s="2">
        <v>0.47369851987447437</v>
      </c>
      <c r="D72" s="2">
        <v>0.50099056045082635</v>
      </c>
      <c r="E72" s="2">
        <v>0.35838987607535938</v>
      </c>
      <c r="G72" s="2">
        <f t="shared" si="18"/>
        <v>-2.7292040576351984E-2</v>
      </c>
      <c r="H72" s="2">
        <f t="shared" si="19"/>
        <v>0.11530864379911498</v>
      </c>
      <c r="J72" s="2"/>
      <c r="L72">
        <v>11</v>
      </c>
      <c r="M72" s="2">
        <v>0.48206778263983963</v>
      </c>
      <c r="N72" s="2">
        <v>0.33438733986098373</v>
      </c>
      <c r="O72" s="2">
        <v>0.44176586482621766</v>
      </c>
      <c r="Q72" s="2">
        <f t="shared" si="20"/>
        <v>0.14768044277885589</v>
      </c>
      <c r="R72" s="2">
        <f t="shared" si="21"/>
        <v>4.0301917813621968E-2</v>
      </c>
      <c r="V72">
        <v>11</v>
      </c>
      <c r="W72" s="2">
        <v>0.47369851987447437</v>
      </c>
      <c r="X72" s="2">
        <v>0.4</v>
      </c>
      <c r="Y72" s="2">
        <v>0.35838987607535938</v>
      </c>
      <c r="AA72" s="2">
        <f t="shared" si="22"/>
        <v>7.3698519874474344E-2</v>
      </c>
      <c r="AB72" s="2">
        <f t="shared" si="23"/>
        <v>0.11530864379911498</v>
      </c>
    </row>
    <row r="73" spans="1:28" x14ac:dyDescent="0.25">
      <c r="B73">
        <v>12</v>
      </c>
      <c r="C73" s="2">
        <v>0.67188401607863035</v>
      </c>
      <c r="D73" s="2">
        <v>0.61648769988259622</v>
      </c>
      <c r="E73" s="2">
        <v>0.63287472876979833</v>
      </c>
      <c r="G73" s="2">
        <f t="shared" si="18"/>
        <v>5.5396316196034134E-2</v>
      </c>
      <c r="H73" s="2">
        <f t="shared" si="19"/>
        <v>3.9009287308832019E-2</v>
      </c>
      <c r="J73" s="2"/>
      <c r="L73">
        <v>12</v>
      </c>
      <c r="M73" s="2">
        <v>0.53205973033352671</v>
      </c>
      <c r="N73" s="2">
        <v>0.49836701091547231</v>
      </c>
      <c r="O73" s="2">
        <v>0.48575274044409128</v>
      </c>
      <c r="Q73" s="2">
        <f t="shared" si="20"/>
        <v>3.3692719418054407E-2</v>
      </c>
      <c r="R73" s="2">
        <f t="shared" si="21"/>
        <v>4.6306989889435435E-2</v>
      </c>
      <c r="V73">
        <v>12</v>
      </c>
      <c r="W73" s="2">
        <v>0.45138380823811602</v>
      </c>
      <c r="X73" s="2">
        <v>0.39405689884916034</v>
      </c>
      <c r="Y73" s="2">
        <v>0.48232641829230133</v>
      </c>
      <c r="AA73" s="2">
        <f t="shared" si="22"/>
        <v>5.7326909388955682E-2</v>
      </c>
      <c r="AB73" s="2">
        <f t="shared" si="23"/>
        <v>-3.0942610054185304E-2</v>
      </c>
    </row>
    <row r="75" spans="1:28" x14ac:dyDescent="0.25">
      <c r="A75" s="2"/>
      <c r="B75" s="2"/>
      <c r="C75" s="2">
        <f>AVERAGE(C62:C73)</f>
        <v>0.5667562173952807</v>
      </c>
      <c r="D75" s="2">
        <f>AVERAGE(D62:D73)</f>
        <v>0.56877861588141354</v>
      </c>
      <c r="E75" s="2">
        <f>AVERAGE(E62:E73)</f>
        <v>0.53859254182534755</v>
      </c>
      <c r="F75" s="2"/>
      <c r="G75" s="2">
        <f>AVERAGE(G62:G73)</f>
        <v>-2.022398486132837E-3</v>
      </c>
      <c r="H75" s="2">
        <f>AVERAGE(H62:H73)</f>
        <v>2.8163675569933124E-2</v>
      </c>
      <c r="I75" s="2"/>
      <c r="J75" s="2"/>
      <c r="K75" s="2"/>
      <c r="L75" s="2"/>
      <c r="M75" s="2">
        <f>AVERAGE(M62:M73)</f>
        <v>0.43429679571015667</v>
      </c>
      <c r="N75" s="2">
        <f>AVERAGE(N62:N73)</f>
        <v>0.38632955706066485</v>
      </c>
      <c r="O75" s="2">
        <f>AVERAGE(O62:O73)</f>
        <v>0.39927389988050566</v>
      </c>
      <c r="P75" s="2"/>
      <c r="Q75" s="2">
        <f>AVERAGE(Q62:Q73)</f>
        <v>4.7967238649491817E-2</v>
      </c>
      <c r="R75" s="2">
        <f>AVERAGE(R62:R73)</f>
        <v>3.5022895829650992E-2</v>
      </c>
      <c r="S75" s="2"/>
      <c r="T75" s="2"/>
      <c r="U75" s="2"/>
      <c r="V75" s="2"/>
      <c r="W75" s="2">
        <f>AVERAGE(W62:W73)</f>
        <v>0.37727523178628708</v>
      </c>
      <c r="X75" s="2">
        <f>AVERAGE(X62:X73)</f>
        <v>0.31493061516399329</v>
      </c>
      <c r="Y75" s="2">
        <f>AVERAGE(Y62:Y73)</f>
        <v>0.32880208397460398</v>
      </c>
      <c r="Z75" s="2"/>
      <c r="AA75" s="2">
        <f>AVERAGE(AA62:AA73)</f>
        <v>6.2344616622293757E-2</v>
      </c>
      <c r="AB75" s="2">
        <f>AVERAGE(AB62:AB73)</f>
        <v>4.8473147811683014E-2</v>
      </c>
    </row>
    <row r="76" spans="1:28" x14ac:dyDescent="0.25">
      <c r="A76" s="2"/>
      <c r="B76" s="2"/>
      <c r="C76" s="2">
        <f>STDEV(C62:C73)</f>
        <v>8.6779732682852911E-2</v>
      </c>
      <c r="D76" s="2">
        <f>STDEV(D62:D73)</f>
        <v>8.6758851738705109E-2</v>
      </c>
      <c r="E76" s="2">
        <f>STDEV(E62:E73)</f>
        <v>8.8501804681880555E-2</v>
      </c>
      <c r="F76" s="2"/>
      <c r="G76" s="2">
        <f>STDEV(G62:G73)</f>
        <v>5.8527587593219181E-2</v>
      </c>
      <c r="H76" s="2">
        <f>STDEV(H62:H73)</f>
        <v>5.2452744987811419E-2</v>
      </c>
      <c r="I76" s="2"/>
      <c r="J76" s="2"/>
      <c r="K76" s="2"/>
      <c r="L76" s="2"/>
      <c r="M76" s="2">
        <f>STDEV(M62:M73)</f>
        <v>8.759233323985928E-2</v>
      </c>
      <c r="N76" s="2">
        <f>STDEV(N62:N73)</f>
        <v>9.4753132699770884E-2</v>
      </c>
      <c r="O76" s="2">
        <f>STDEV(O62:O73)</f>
        <v>9.1016853364786571E-2</v>
      </c>
      <c r="P76" s="2"/>
      <c r="Q76" s="2">
        <f>STDEV(Q62:Q73)</f>
        <v>5.4700600653857921E-2</v>
      </c>
      <c r="R76" s="2">
        <f>STDEV(R62:R73)</f>
        <v>5.8863368537832146E-2</v>
      </c>
      <c r="S76" s="2"/>
      <c r="T76" s="2"/>
      <c r="U76" s="2"/>
      <c r="V76" s="2"/>
      <c r="W76" s="2">
        <f>STDEV(W62:W73)</f>
        <v>9.4504623857988301E-2</v>
      </c>
      <c r="X76" s="2">
        <f>STDEV(X62:X73)</f>
        <v>9.0055560735698828E-2</v>
      </c>
      <c r="Y76" s="2">
        <f>STDEV(Y62:Y73)</f>
        <v>7.7532213417452797E-2</v>
      </c>
      <c r="Z76" s="2"/>
      <c r="AA76" s="2">
        <f>STDEV(AA62:AA73)</f>
        <v>3.8637410231650654E-2</v>
      </c>
      <c r="AB76" s="2">
        <f>STDEV(AB62:AB73)</f>
        <v>6.7011567133663227E-2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CF9DC-FA2F-4DDF-AD97-63B92BB9A63A}">
  <dimension ref="A1:AL76"/>
  <sheetViews>
    <sheetView workbookViewId="0"/>
  </sheetViews>
  <sheetFormatPr defaultRowHeight="15" x14ac:dyDescent="0.25"/>
  <sheetData>
    <row r="1" spans="1:38" x14ac:dyDescent="0.25">
      <c r="A1" t="s">
        <v>0</v>
      </c>
      <c r="G1" t="s">
        <v>14</v>
      </c>
      <c r="H1" t="s">
        <v>15</v>
      </c>
      <c r="K1" t="s">
        <v>0</v>
      </c>
      <c r="Q1" t="s">
        <v>14</v>
      </c>
      <c r="R1" t="s">
        <v>15</v>
      </c>
      <c r="U1" t="s">
        <v>0</v>
      </c>
      <c r="AA1" t="s">
        <v>14</v>
      </c>
      <c r="AB1" t="s">
        <v>15</v>
      </c>
    </row>
    <row r="2" spans="1:38" x14ac:dyDescent="0.25">
      <c r="A2" s="1">
        <v>0.25</v>
      </c>
      <c r="B2" t="s">
        <v>1</v>
      </c>
      <c r="C2" t="s">
        <v>32</v>
      </c>
      <c r="D2" t="s">
        <v>33</v>
      </c>
      <c r="E2" t="s">
        <v>34</v>
      </c>
      <c r="G2" t="s">
        <v>13</v>
      </c>
      <c r="H2" t="s">
        <v>13</v>
      </c>
      <c r="J2" s="1"/>
      <c r="K2" s="1">
        <v>0.5</v>
      </c>
      <c r="L2" t="s">
        <v>1</v>
      </c>
      <c r="M2" t="s">
        <v>32</v>
      </c>
      <c r="N2" t="s">
        <v>33</v>
      </c>
      <c r="O2" t="s">
        <v>34</v>
      </c>
      <c r="Q2" t="s">
        <v>13</v>
      </c>
      <c r="R2" t="s">
        <v>13</v>
      </c>
      <c r="U2" s="1">
        <v>0.75</v>
      </c>
      <c r="V2" t="s">
        <v>1</v>
      </c>
      <c r="W2" t="s">
        <v>32</v>
      </c>
      <c r="X2" t="s">
        <v>33</v>
      </c>
      <c r="Y2" t="s">
        <v>34</v>
      </c>
      <c r="AA2" t="s">
        <v>13</v>
      </c>
      <c r="AB2" t="s">
        <v>13</v>
      </c>
      <c r="AE2" s="1"/>
    </row>
    <row r="3" spans="1:38" x14ac:dyDescent="0.25">
      <c r="B3">
        <v>1</v>
      </c>
      <c r="C3" s="2">
        <v>0.64925138856728803</v>
      </c>
      <c r="D3" s="2">
        <v>0.568705934770524</v>
      </c>
      <c r="E3" s="2">
        <v>0.59765940066311829</v>
      </c>
      <c r="G3" s="2">
        <f>C3-D3</f>
        <v>8.0545453796764033E-2</v>
      </c>
      <c r="H3" s="2">
        <f>C3-E3</f>
        <v>5.1591987904169745E-2</v>
      </c>
      <c r="J3" s="2"/>
      <c r="L3">
        <v>1</v>
      </c>
      <c r="M3" s="2">
        <v>0.48440028308556266</v>
      </c>
      <c r="N3" s="2">
        <v>0.46733516465291897</v>
      </c>
      <c r="O3" s="2">
        <v>0.4504135151266116</v>
      </c>
      <c r="Q3" s="2">
        <f>M3-N3</f>
        <v>1.7065118432643689E-2</v>
      </c>
      <c r="R3" s="2">
        <f>M3-O3</f>
        <v>3.3986767958951059E-2</v>
      </c>
      <c r="V3">
        <v>1</v>
      </c>
      <c r="W3" s="2">
        <v>0.41048515556660403</v>
      </c>
      <c r="X3" s="2">
        <v>0.30259116270787967</v>
      </c>
      <c r="Y3" s="2">
        <v>0.37745595836727752</v>
      </c>
      <c r="AA3" s="2">
        <f>W3-X3</f>
        <v>0.10789399285872436</v>
      </c>
      <c r="AB3" s="2">
        <f>W3-Y3</f>
        <v>3.302919719932651E-2</v>
      </c>
      <c r="AK3" s="2"/>
      <c r="AL3" s="2"/>
    </row>
    <row r="4" spans="1:38" x14ac:dyDescent="0.25">
      <c r="B4">
        <v>2</v>
      </c>
      <c r="C4" s="2">
        <v>0.57517625259091731</v>
      </c>
      <c r="D4" s="2">
        <v>0.56579677784155902</v>
      </c>
      <c r="E4" s="2">
        <v>0.54225107833751762</v>
      </c>
      <c r="G4" s="2">
        <f t="shared" ref="G4:G14" si="0">C4-D4</f>
        <v>9.3794747493582964E-3</v>
      </c>
      <c r="H4" s="2">
        <f t="shared" ref="H4:H14" si="1">C4-E4</f>
        <v>3.2925174253399692E-2</v>
      </c>
      <c r="J4" s="2"/>
      <c r="L4">
        <v>2</v>
      </c>
      <c r="M4" s="2">
        <v>0.44538833973086095</v>
      </c>
      <c r="N4" s="2">
        <v>0.43096191624452101</v>
      </c>
      <c r="O4" s="2">
        <v>0.46565507072222373</v>
      </c>
      <c r="Q4" s="2">
        <f t="shared" ref="Q4:Q14" si="2">M4-N4</f>
        <v>1.4426423486339934E-2</v>
      </c>
      <c r="R4" s="2">
        <f t="shared" ref="R4:R14" si="3">M4-O4</f>
        <v>-2.026673099136278E-2</v>
      </c>
      <c r="V4">
        <v>2</v>
      </c>
      <c r="W4" s="2">
        <v>0.39245552122820698</v>
      </c>
      <c r="X4" s="2">
        <v>0.35689255887589866</v>
      </c>
      <c r="Y4" s="2">
        <v>0.36966955835879234</v>
      </c>
      <c r="AA4" s="2">
        <f t="shared" ref="AA4:AA14" si="4">W4-X4</f>
        <v>3.5562962352308325E-2</v>
      </c>
      <c r="AB4" s="2">
        <f t="shared" ref="AB4:AB14" si="5">W4-Y4</f>
        <v>2.2785962869414644E-2</v>
      </c>
      <c r="AK4" s="2"/>
      <c r="AL4" s="2"/>
    </row>
    <row r="5" spans="1:38" x14ac:dyDescent="0.25">
      <c r="B5">
        <v>3</v>
      </c>
      <c r="C5" s="2">
        <v>0.41662040290564201</v>
      </c>
      <c r="D5" s="2">
        <v>0.37767339254896698</v>
      </c>
      <c r="E5" s="2">
        <v>0.41218116356144868</v>
      </c>
      <c r="G5" s="2">
        <f t="shared" si="0"/>
        <v>3.8947010356675027E-2</v>
      </c>
      <c r="H5" s="2">
        <f t="shared" si="1"/>
        <v>4.4392393441933242E-3</v>
      </c>
      <c r="J5" s="2"/>
      <c r="L5">
        <v>3</v>
      </c>
      <c r="M5" s="2">
        <v>0.18900523437536565</v>
      </c>
      <c r="N5" s="2">
        <v>0.23380276749652551</v>
      </c>
      <c r="O5" s="2">
        <v>0.36514805599118633</v>
      </c>
      <c r="Q5" s="2">
        <f t="shared" si="2"/>
        <v>-4.479753312115986E-2</v>
      </c>
      <c r="R5" s="2">
        <f t="shared" si="3"/>
        <v>-0.17614282161582068</v>
      </c>
      <c r="V5">
        <v>3</v>
      </c>
      <c r="W5" s="2">
        <v>0.25794830161935167</v>
      </c>
      <c r="X5" s="2">
        <v>0.22900095272045801</v>
      </c>
      <c r="Y5" s="2">
        <v>0.29825086568329268</v>
      </c>
      <c r="AA5" s="2">
        <f t="shared" si="4"/>
        <v>2.8947348898893666E-2</v>
      </c>
      <c r="AB5" s="2">
        <f t="shared" si="5"/>
        <v>-4.0302564063941004E-2</v>
      </c>
      <c r="AK5" s="2"/>
      <c r="AL5" s="2"/>
    </row>
    <row r="6" spans="1:38" x14ac:dyDescent="0.25">
      <c r="B6">
        <v>4</v>
      </c>
      <c r="C6" s="2">
        <v>0.49965820045619935</v>
      </c>
      <c r="D6" s="2">
        <v>0.50184343329457837</v>
      </c>
      <c r="E6" s="2">
        <v>0.44687102791697003</v>
      </c>
      <c r="G6" s="2">
        <f t="shared" si="0"/>
        <v>-2.1852328383790143E-3</v>
      </c>
      <c r="H6" s="2">
        <f t="shared" si="1"/>
        <v>5.2787172539229321E-2</v>
      </c>
      <c r="J6" s="2"/>
      <c r="L6">
        <v>4</v>
      </c>
      <c r="M6" s="2">
        <v>0.19968095234299199</v>
      </c>
      <c r="N6" s="2">
        <v>0.29038775893613533</v>
      </c>
      <c r="O6" s="2">
        <v>0.29035955995314872</v>
      </c>
      <c r="Q6" s="2">
        <f t="shared" si="2"/>
        <v>-9.0706806593143341E-2</v>
      </c>
      <c r="R6" s="2">
        <f t="shared" si="3"/>
        <v>-9.0678607610156725E-2</v>
      </c>
      <c r="V6">
        <v>4</v>
      </c>
      <c r="W6" s="2">
        <v>0.21236149568678134</v>
      </c>
      <c r="X6" s="2">
        <v>0.19150401621063132</v>
      </c>
      <c r="Y6" s="2">
        <v>0.24378179530316632</v>
      </c>
      <c r="AA6" s="2">
        <f t="shared" si="4"/>
        <v>2.085747947615002E-2</v>
      </c>
      <c r="AB6" s="2">
        <f t="shared" si="5"/>
        <v>-3.1420299616384983E-2</v>
      </c>
      <c r="AK6" s="2"/>
      <c r="AL6" s="2"/>
    </row>
    <row r="7" spans="1:38" x14ac:dyDescent="0.25">
      <c r="B7">
        <v>5</v>
      </c>
      <c r="C7" s="2">
        <v>0.37073995690863432</v>
      </c>
      <c r="D7" s="2">
        <v>0.36417790603952632</v>
      </c>
      <c r="E7" s="2">
        <v>0.4576846199301543</v>
      </c>
      <c r="G7" s="2">
        <f t="shared" si="0"/>
        <v>6.5620508691079937E-3</v>
      </c>
      <c r="H7" s="2">
        <f t="shared" si="1"/>
        <v>-8.6944663021519986E-2</v>
      </c>
      <c r="J7" s="2"/>
      <c r="L7">
        <v>5</v>
      </c>
      <c r="M7" s="2">
        <v>0.37152318363195347</v>
      </c>
      <c r="N7" s="2">
        <v>0.26329958803330639</v>
      </c>
      <c r="O7" s="2">
        <v>0.28529188150903867</v>
      </c>
      <c r="Q7" s="2">
        <f t="shared" si="2"/>
        <v>0.10822359559864708</v>
      </c>
      <c r="R7" s="2">
        <f t="shared" si="3"/>
        <v>8.6231302122914799E-2</v>
      </c>
      <c r="V7">
        <v>5</v>
      </c>
      <c r="W7" s="2">
        <v>0.32807990736197101</v>
      </c>
      <c r="X7" s="2">
        <v>0.29077990709214102</v>
      </c>
      <c r="Y7" s="2">
        <v>0.21648983310466932</v>
      </c>
      <c r="AA7" s="2">
        <f t="shared" si="4"/>
        <v>3.7300000269829992E-2</v>
      </c>
      <c r="AB7" s="2">
        <f t="shared" si="5"/>
        <v>0.11159007425730169</v>
      </c>
      <c r="AK7" s="2"/>
      <c r="AL7" s="2"/>
    </row>
    <row r="8" spans="1:38" x14ac:dyDescent="0.25">
      <c r="B8">
        <v>6</v>
      </c>
      <c r="C8" s="2">
        <v>0.52875880472691128</v>
      </c>
      <c r="D8" s="2">
        <v>0.53416287582365374</v>
      </c>
      <c r="E8" s="2">
        <v>0.50908218197909971</v>
      </c>
      <c r="G8" s="2">
        <f t="shared" si="0"/>
        <v>-5.4040710967424577E-3</v>
      </c>
      <c r="H8" s="2">
        <f t="shared" si="1"/>
        <v>1.9676622747811567E-2</v>
      </c>
      <c r="J8" s="2"/>
      <c r="L8">
        <v>6</v>
      </c>
      <c r="M8" s="2">
        <v>0.430215451055245</v>
      </c>
      <c r="N8" s="2">
        <v>0.33261227044089048</v>
      </c>
      <c r="O8" s="2">
        <v>0.45095516727215901</v>
      </c>
      <c r="Q8" s="2">
        <f t="shared" si="2"/>
        <v>9.7603180614354523E-2</v>
      </c>
      <c r="R8" s="2">
        <f t="shared" si="3"/>
        <v>-2.0739716216914006E-2</v>
      </c>
      <c r="V8">
        <v>6</v>
      </c>
      <c r="W8" s="2">
        <v>0.36058925418270232</v>
      </c>
      <c r="X8" s="2">
        <v>0.26675477934401731</v>
      </c>
      <c r="Y8" s="2">
        <v>0.37222046811621096</v>
      </c>
      <c r="AA8" s="2">
        <f t="shared" si="4"/>
        <v>9.3834474838685011E-2</v>
      </c>
      <c r="AB8" s="2">
        <f t="shared" si="5"/>
        <v>-1.1631213933508633E-2</v>
      </c>
      <c r="AK8" s="2"/>
      <c r="AL8" s="2"/>
    </row>
    <row r="9" spans="1:38" x14ac:dyDescent="0.25">
      <c r="B9">
        <v>7</v>
      </c>
      <c r="C9" s="2">
        <v>0.44024618801040499</v>
      </c>
      <c r="D9" s="2">
        <v>0.56827655707635227</v>
      </c>
      <c r="E9" s="2">
        <v>0.45949329430882796</v>
      </c>
      <c r="G9" s="2">
        <f t="shared" si="0"/>
        <v>-0.12803036906594728</v>
      </c>
      <c r="H9" s="2">
        <f t="shared" si="1"/>
        <v>-1.9247106298422967E-2</v>
      </c>
      <c r="J9" s="2"/>
      <c r="L9">
        <v>7</v>
      </c>
      <c r="M9" s="2">
        <v>0.27224279982374167</v>
      </c>
      <c r="N9" s="2">
        <v>0.28449558902686067</v>
      </c>
      <c r="O9" s="2">
        <v>0.32344851483646231</v>
      </c>
      <c r="Q9" s="2">
        <f t="shared" si="2"/>
        <v>-1.2252789203119008E-2</v>
      </c>
      <c r="R9" s="2">
        <f t="shared" si="3"/>
        <v>-5.1205715012720643E-2</v>
      </c>
      <c r="V9">
        <v>7</v>
      </c>
      <c r="W9" s="2">
        <v>0.23627542631354903</v>
      </c>
      <c r="X9" s="2">
        <v>0.18020972603652199</v>
      </c>
      <c r="Y9" s="2">
        <v>0.122764108326526</v>
      </c>
      <c r="AA9" s="2">
        <f t="shared" si="4"/>
        <v>5.6065700277027036E-2</v>
      </c>
      <c r="AB9" s="2">
        <f t="shared" si="5"/>
        <v>0.11351131798702303</v>
      </c>
      <c r="AG9" s="3"/>
      <c r="AK9" s="2"/>
      <c r="AL9" s="2"/>
    </row>
    <row r="10" spans="1:38" x14ac:dyDescent="0.25">
      <c r="B10">
        <v>8</v>
      </c>
      <c r="C10" s="2">
        <v>0.57202147767311728</v>
      </c>
      <c r="D10" s="2">
        <v>0.59247404097502032</v>
      </c>
      <c r="E10" s="2">
        <v>0.53960816849124971</v>
      </c>
      <c r="G10" s="2">
        <f t="shared" si="0"/>
        <v>-2.0452563301903037E-2</v>
      </c>
      <c r="H10" s="2">
        <f t="shared" si="1"/>
        <v>3.2413309181867578E-2</v>
      </c>
      <c r="J10" s="2"/>
      <c r="L10">
        <v>8</v>
      </c>
      <c r="M10" s="2">
        <v>0.3703649663019693</v>
      </c>
      <c r="N10" s="2">
        <v>0.37828554502055473</v>
      </c>
      <c r="O10" s="2">
        <v>0.40396594309047934</v>
      </c>
      <c r="Q10" s="2">
        <f t="shared" si="2"/>
        <v>-7.9205787185854248E-3</v>
      </c>
      <c r="R10" s="2">
        <f t="shared" si="3"/>
        <v>-3.360097678851004E-2</v>
      </c>
      <c r="V10">
        <v>8</v>
      </c>
      <c r="W10" s="2">
        <v>0.3705065599708473</v>
      </c>
      <c r="X10" s="2">
        <v>0.32515500872197767</v>
      </c>
      <c r="Y10" s="2">
        <v>0.43391340579507265</v>
      </c>
      <c r="AA10" s="2">
        <f t="shared" si="4"/>
        <v>4.5351551248869637E-2</v>
      </c>
      <c r="AB10" s="2">
        <f t="shared" si="5"/>
        <v>-6.3406845824225344E-2</v>
      </c>
      <c r="AK10" s="2"/>
      <c r="AL10" s="2"/>
    </row>
    <row r="11" spans="1:38" x14ac:dyDescent="0.25">
      <c r="B11">
        <v>9</v>
      </c>
      <c r="C11" s="2">
        <v>0.39962111029411762</v>
      </c>
      <c r="D11" s="2">
        <v>0.45183094506063898</v>
      </c>
      <c r="E11" s="2">
        <v>0.45652353350723063</v>
      </c>
      <c r="G11" s="2">
        <f t="shared" si="0"/>
        <v>-5.2209834766521357E-2</v>
      </c>
      <c r="H11" s="2">
        <f t="shared" si="1"/>
        <v>-5.6902423213113007E-2</v>
      </c>
      <c r="J11" s="2"/>
      <c r="L11">
        <v>9</v>
      </c>
      <c r="M11" s="2">
        <v>0.31771698520003167</v>
      </c>
      <c r="N11" s="2">
        <v>0.27289494335737036</v>
      </c>
      <c r="O11" s="2">
        <v>0.24144635855662466</v>
      </c>
      <c r="Q11" s="2">
        <f t="shared" si="2"/>
        <v>4.4822041842661309E-2</v>
      </c>
      <c r="R11" s="2">
        <f t="shared" si="3"/>
        <v>7.6270626643407002E-2</v>
      </c>
      <c r="V11">
        <v>9</v>
      </c>
      <c r="W11" s="2">
        <v>0.202846486137674</v>
      </c>
      <c r="X11" s="2">
        <v>0.23681046412940968</v>
      </c>
      <c r="Y11" s="2">
        <v>0.2601830307517507</v>
      </c>
      <c r="AA11" s="2">
        <f t="shared" si="4"/>
        <v>-3.3963977991735672E-2</v>
      </c>
      <c r="AB11" s="2">
        <f t="shared" si="5"/>
        <v>-5.7336544614076695E-2</v>
      </c>
      <c r="AK11" s="2"/>
      <c r="AL11" s="2"/>
    </row>
    <row r="12" spans="1:38" x14ac:dyDescent="0.25">
      <c r="B12">
        <v>10</v>
      </c>
      <c r="C12" s="2">
        <v>0.55448622693383476</v>
      </c>
      <c r="D12" s="2">
        <v>0.44382026686484233</v>
      </c>
      <c r="E12" s="2">
        <v>0.52909888610947797</v>
      </c>
      <c r="G12" s="2">
        <f t="shared" si="0"/>
        <v>0.11066596006899243</v>
      </c>
      <c r="H12" s="2">
        <f t="shared" si="1"/>
        <v>2.5387340824356786E-2</v>
      </c>
      <c r="J12" s="2"/>
      <c r="L12">
        <v>10</v>
      </c>
      <c r="M12" s="2">
        <v>0.33477976149646799</v>
      </c>
      <c r="N12" s="2">
        <v>0.27205896471986435</v>
      </c>
      <c r="O12" s="2">
        <v>0.35390247936216368</v>
      </c>
      <c r="Q12" s="2">
        <f t="shared" si="2"/>
        <v>6.2720796776603638E-2</v>
      </c>
      <c r="R12" s="2">
        <f t="shared" si="3"/>
        <v>-1.9122717865695693E-2</v>
      </c>
      <c r="V12">
        <v>10</v>
      </c>
      <c r="W12" s="2">
        <v>0.30211192718450269</v>
      </c>
      <c r="X12" s="2">
        <v>0.34383800257185698</v>
      </c>
      <c r="Y12" s="2">
        <v>0.32737949827621432</v>
      </c>
      <c r="AA12" s="2">
        <f t="shared" si="4"/>
        <v>-4.1726075387354289E-2</v>
      </c>
      <c r="AB12" s="2">
        <f t="shared" si="5"/>
        <v>-2.5267571091711627E-2</v>
      </c>
      <c r="AK12" s="2"/>
      <c r="AL12" s="2"/>
    </row>
    <row r="13" spans="1:38" x14ac:dyDescent="0.25">
      <c r="B13">
        <v>11</v>
      </c>
      <c r="C13" s="2">
        <v>0.59613766462492002</v>
      </c>
      <c r="D13" s="2">
        <v>0.56724547702302475</v>
      </c>
      <c r="E13" s="2">
        <v>0.63447600714930397</v>
      </c>
      <c r="G13" s="2">
        <f t="shared" si="0"/>
        <v>2.8892187601895269E-2</v>
      </c>
      <c r="H13" s="2">
        <f t="shared" si="1"/>
        <v>-3.833834252438395E-2</v>
      </c>
      <c r="J13" s="2"/>
      <c r="L13">
        <v>11</v>
      </c>
      <c r="M13" s="2">
        <v>0.37181479530710831</v>
      </c>
      <c r="N13" s="2">
        <v>0.38656391196967305</v>
      </c>
      <c r="O13" s="2">
        <v>0.34960619772663865</v>
      </c>
      <c r="Q13" s="2">
        <f t="shared" si="2"/>
        <v>-1.4749116662564732E-2</v>
      </c>
      <c r="R13" s="2">
        <f t="shared" si="3"/>
        <v>2.2208597580469669E-2</v>
      </c>
      <c r="V13">
        <v>11</v>
      </c>
      <c r="W13" s="2">
        <v>0.37902822034240696</v>
      </c>
      <c r="X13" s="2">
        <v>0.48820425158864</v>
      </c>
      <c r="Y13" s="2">
        <v>0.32457872107644264</v>
      </c>
      <c r="AA13" s="2">
        <f t="shared" si="4"/>
        <v>-0.10917603124623304</v>
      </c>
      <c r="AB13" s="2">
        <f t="shared" si="5"/>
        <v>5.4449499265964318E-2</v>
      </c>
      <c r="AK13" s="2"/>
      <c r="AL13" s="2"/>
    </row>
    <row r="14" spans="1:38" x14ac:dyDescent="0.25">
      <c r="B14">
        <v>12</v>
      </c>
      <c r="C14" s="2">
        <v>0.62959769388714426</v>
      </c>
      <c r="D14" s="2">
        <v>0.50746334643901403</v>
      </c>
      <c r="E14" s="2">
        <v>0.57269711073061869</v>
      </c>
      <c r="G14" s="2">
        <f t="shared" si="0"/>
        <v>0.12213434744813023</v>
      </c>
      <c r="H14" s="2">
        <f t="shared" si="1"/>
        <v>5.6900583156525575E-2</v>
      </c>
      <c r="J14" s="2"/>
      <c r="L14">
        <v>12</v>
      </c>
      <c r="M14" s="2">
        <v>0.48321760605728864</v>
      </c>
      <c r="N14" s="2">
        <v>0.48356917995902338</v>
      </c>
      <c r="O14" s="2">
        <v>0.33638460364300604</v>
      </c>
      <c r="Q14" s="2">
        <f t="shared" si="2"/>
        <v>-3.5157390173473635E-4</v>
      </c>
      <c r="R14" s="2">
        <f t="shared" si="3"/>
        <v>0.1468330024142826</v>
      </c>
      <c r="V14">
        <v>12</v>
      </c>
      <c r="W14" s="2">
        <v>0.32604068293331001</v>
      </c>
      <c r="X14" s="2">
        <v>0.31442645021066601</v>
      </c>
      <c r="Y14" s="2">
        <v>0.260995749748344</v>
      </c>
      <c r="AA14" s="2">
        <f t="shared" si="4"/>
        <v>1.1614232722644002E-2</v>
      </c>
      <c r="AB14" s="2">
        <f t="shared" si="5"/>
        <v>6.5044933184966014E-2</v>
      </c>
      <c r="AI14" s="3"/>
      <c r="AK14" s="2"/>
      <c r="AL14" s="2"/>
    </row>
    <row r="16" spans="1:38" x14ac:dyDescent="0.25">
      <c r="A16" s="2"/>
      <c r="B16" s="2"/>
      <c r="C16" s="2">
        <f>AVERAGE(C3:C14)</f>
        <v>0.51935961396492769</v>
      </c>
      <c r="D16" s="2">
        <f>AVERAGE(D3:D14)</f>
        <v>0.50362257947980837</v>
      </c>
      <c r="E16" s="2">
        <f>AVERAGE(E3:E14)</f>
        <v>0.51313553939041812</v>
      </c>
      <c r="F16" s="2"/>
      <c r="G16" s="2">
        <f>AVERAGE(G3:G14)</f>
        <v>1.5737034485119178E-2</v>
      </c>
      <c r="H16" s="2">
        <f>AVERAGE(H3:H14)</f>
        <v>6.2240745745094734E-3</v>
      </c>
      <c r="I16" s="2"/>
      <c r="J16" s="2"/>
      <c r="K16" s="2"/>
      <c r="L16" s="2"/>
      <c r="M16" s="2">
        <f>AVERAGE(M3:M14)</f>
        <v>0.35586252986738232</v>
      </c>
      <c r="N16" s="2">
        <f>AVERAGE(N3:N14)</f>
        <v>0.3413556333214704</v>
      </c>
      <c r="O16" s="2">
        <f>AVERAGE(O3:O14)</f>
        <v>0.35971477898247861</v>
      </c>
      <c r="P16" s="2"/>
      <c r="Q16" s="2">
        <f>AVERAGE(Q3:Q14)</f>
        <v>1.4506896545911923E-2</v>
      </c>
      <c r="R16" s="2">
        <f>AVERAGE(R3:R14)</f>
        <v>-3.8522491150962865E-3</v>
      </c>
      <c r="S16" s="2"/>
      <c r="T16" s="2"/>
      <c r="U16" s="2"/>
      <c r="V16" s="2"/>
      <c r="W16" s="2">
        <f>AVERAGE(W3:W14)</f>
        <v>0.31489407821065901</v>
      </c>
      <c r="X16" s="2">
        <f>AVERAGE(X3:X14)</f>
        <v>0.29384727335084154</v>
      </c>
      <c r="Y16" s="2">
        <f>AVERAGE(Y3:Y14)</f>
        <v>0.30064024940897993</v>
      </c>
      <c r="Z16" s="2"/>
      <c r="AA16" s="2">
        <f>AVERAGE(AA3:AA14)</f>
        <v>2.1046804859817417E-2</v>
      </c>
      <c r="AB16" s="2">
        <f>AVERAGE(AB3:AB14)</f>
        <v>1.4253828801678995E-2</v>
      </c>
      <c r="AG16" s="3"/>
      <c r="AH16" s="3"/>
      <c r="AI16" s="3"/>
      <c r="AK16" s="3"/>
      <c r="AL16" s="3"/>
    </row>
    <row r="17" spans="1:38" x14ac:dyDescent="0.25">
      <c r="A17" s="2"/>
      <c r="B17" s="2"/>
      <c r="C17" s="2">
        <f>STDEV(C3:C14)</f>
        <v>9.3301907938325157E-2</v>
      </c>
      <c r="D17" s="2">
        <f>STDEV(D3:D14)</f>
        <v>7.7893515531592614E-2</v>
      </c>
      <c r="E17" s="2">
        <f>STDEV(E3:E14)</f>
        <v>6.8074245217800311E-2</v>
      </c>
      <c r="F17" s="2"/>
      <c r="G17" s="2">
        <f>STDEV(G3:G14)</f>
        <v>6.923744692243225E-2</v>
      </c>
      <c r="H17" s="2">
        <f>STDEV(H3:H14)</f>
        <v>4.6753365295352026E-2</v>
      </c>
      <c r="I17" s="2"/>
      <c r="J17" s="2"/>
      <c r="K17" s="2"/>
      <c r="L17" s="2"/>
      <c r="M17" s="2">
        <f>STDEV(M3:M14)</f>
        <v>9.9141962327566252E-2</v>
      </c>
      <c r="N17" s="2">
        <f>STDEV(N3:N14)</f>
        <v>8.5593607817447945E-2</v>
      </c>
      <c r="O17" s="2">
        <f>STDEV(O3:O14)</f>
        <v>7.1410426546191799E-2</v>
      </c>
      <c r="P17" s="2"/>
      <c r="Q17" s="2">
        <f>STDEV(Q3:Q14)</f>
        <v>5.7065075197031953E-2</v>
      </c>
      <c r="R17" s="2">
        <f>STDEV(R3:R14)</f>
        <v>8.5540915146253935E-2</v>
      </c>
      <c r="S17" s="2"/>
      <c r="T17" s="2"/>
      <c r="U17" s="2"/>
      <c r="V17" s="2"/>
      <c r="W17" s="2">
        <f>STDEV(W3:W14)</f>
        <v>7.2237122459070838E-2</v>
      </c>
      <c r="X17" s="2">
        <f>STDEV(X3:X14)</f>
        <v>8.3838501545051014E-2</v>
      </c>
      <c r="Y17" s="2">
        <f>STDEV(Y3:Y14)</f>
        <v>8.5284272449254711E-2</v>
      </c>
      <c r="Z17" s="2"/>
      <c r="AA17" s="2">
        <f>STDEV(AA3:AA14)</f>
        <v>5.9702629386468038E-2</v>
      </c>
      <c r="AB17" s="2">
        <f>STDEV(AB3:AB14)</f>
        <v>6.2083520184061047E-2</v>
      </c>
      <c r="AG17" s="3"/>
      <c r="AH17" s="3"/>
      <c r="AI17" s="3"/>
      <c r="AK17" s="3"/>
      <c r="AL17" s="3"/>
    </row>
    <row r="20" spans="1:38" x14ac:dyDescent="0.25">
      <c r="A20" t="s">
        <v>16</v>
      </c>
      <c r="G20" t="s">
        <v>14</v>
      </c>
      <c r="H20" t="s">
        <v>15</v>
      </c>
      <c r="K20" t="s">
        <v>16</v>
      </c>
      <c r="Q20" t="s">
        <v>14</v>
      </c>
      <c r="R20" t="s">
        <v>15</v>
      </c>
      <c r="U20" t="s">
        <v>16</v>
      </c>
      <c r="AA20" t="s">
        <v>14</v>
      </c>
      <c r="AB20" t="s">
        <v>15</v>
      </c>
    </row>
    <row r="21" spans="1:38" x14ac:dyDescent="0.25">
      <c r="A21" s="1">
        <v>0.25</v>
      </c>
      <c r="B21" t="s">
        <v>1</v>
      </c>
      <c r="C21" t="s">
        <v>32</v>
      </c>
      <c r="D21" t="s">
        <v>33</v>
      </c>
      <c r="E21" t="s">
        <v>34</v>
      </c>
      <c r="G21" t="s">
        <v>13</v>
      </c>
      <c r="H21" t="s">
        <v>13</v>
      </c>
      <c r="J21" s="1"/>
      <c r="K21" s="1">
        <v>0.5</v>
      </c>
      <c r="L21" t="s">
        <v>1</v>
      </c>
      <c r="M21" t="s">
        <v>32</v>
      </c>
      <c r="N21" t="s">
        <v>33</v>
      </c>
      <c r="O21" t="s">
        <v>34</v>
      </c>
      <c r="Q21" t="s">
        <v>13</v>
      </c>
      <c r="R21" t="s">
        <v>13</v>
      </c>
      <c r="U21" s="1">
        <v>0.75</v>
      </c>
      <c r="V21" t="s">
        <v>1</v>
      </c>
      <c r="W21" t="s">
        <v>32</v>
      </c>
      <c r="X21" t="s">
        <v>33</v>
      </c>
      <c r="Y21" t="s">
        <v>34</v>
      </c>
      <c r="AA21" t="s">
        <v>13</v>
      </c>
      <c r="AB21" t="s">
        <v>13</v>
      </c>
    </row>
    <row r="22" spans="1:38" x14ac:dyDescent="0.25">
      <c r="B22">
        <v>1</v>
      </c>
      <c r="C22" s="2">
        <v>0.54548407311205704</v>
      </c>
      <c r="D22" s="2">
        <v>0.6156990600167187</v>
      </c>
      <c r="E22" s="2">
        <v>0.53918409166076475</v>
      </c>
      <c r="G22" s="2">
        <f>C22-D22</f>
        <v>-7.0214986904661658E-2</v>
      </c>
      <c r="H22" s="2">
        <f>C22-E22</f>
        <v>6.2999814512922914E-3</v>
      </c>
      <c r="J22" s="2"/>
      <c r="L22">
        <v>1</v>
      </c>
      <c r="M22" s="2">
        <v>0.50197942840142706</v>
      </c>
      <c r="N22" s="2">
        <v>0.49234026456442864</v>
      </c>
      <c r="O22" s="2">
        <v>0.47827886717654672</v>
      </c>
      <c r="Q22" s="2">
        <f>M22-N22</f>
        <v>9.6391638369984212E-3</v>
      </c>
      <c r="R22" s="2">
        <f>M22-O22</f>
        <v>2.3700561224880345E-2</v>
      </c>
      <c r="V22">
        <v>1</v>
      </c>
      <c r="W22" s="2">
        <v>0.54217417794043465</v>
      </c>
      <c r="X22" s="2">
        <v>0.35353292387775764</v>
      </c>
      <c r="Y22" s="2">
        <v>0.29483794629759036</v>
      </c>
      <c r="AA22" s="2">
        <f>W22-X22</f>
        <v>0.18864125406267701</v>
      </c>
      <c r="AB22" s="2">
        <f>W22-Y22</f>
        <v>0.2473362316428443</v>
      </c>
    </row>
    <row r="23" spans="1:38" x14ac:dyDescent="0.25">
      <c r="B23">
        <v>2</v>
      </c>
      <c r="C23" s="2">
        <v>0.60459469725369563</v>
      </c>
      <c r="D23" s="2">
        <v>0.55441662147069304</v>
      </c>
      <c r="E23" s="2">
        <v>0.57616928301071002</v>
      </c>
      <c r="G23" s="2">
        <f t="shared" ref="G23:G33" si="6">C23-D23</f>
        <v>5.0178075783002596E-2</v>
      </c>
      <c r="H23" s="2">
        <f t="shared" ref="H23:H33" si="7">C23-E23</f>
        <v>2.8425414242985614E-2</v>
      </c>
      <c r="J23" s="2"/>
      <c r="L23">
        <v>2</v>
      </c>
      <c r="M23" s="2">
        <v>0.37291260225629602</v>
      </c>
      <c r="N23" s="2">
        <v>0.40197223660748232</v>
      </c>
      <c r="O23" s="2">
        <v>0.44359306880053168</v>
      </c>
      <c r="Q23" s="2">
        <f t="shared" ref="Q23:Q33" si="8">M23-N23</f>
        <v>-2.9059634351186303E-2</v>
      </c>
      <c r="R23" s="2">
        <f t="shared" ref="R23:R33" si="9">M23-O23</f>
        <v>-7.0680466544235654E-2</v>
      </c>
      <c r="V23">
        <v>2</v>
      </c>
      <c r="W23" s="2">
        <v>0.33878959530488267</v>
      </c>
      <c r="X23" s="2">
        <v>0.37353010100938605</v>
      </c>
      <c r="Y23" s="2">
        <v>0.32074660900965002</v>
      </c>
      <c r="AA23" s="2">
        <f t="shared" ref="AA23:AA33" si="10">W23-X23</f>
        <v>-3.4740505704503377E-2</v>
      </c>
      <c r="AB23" s="2">
        <f t="shared" ref="AB23:AB33" si="11">W23-Y23</f>
        <v>1.8042986295232655E-2</v>
      </c>
    </row>
    <row r="24" spans="1:38" x14ac:dyDescent="0.25">
      <c r="B24">
        <v>3</v>
      </c>
      <c r="C24" s="2">
        <v>0.47176696375430033</v>
      </c>
      <c r="D24" s="2">
        <v>0.43692609405743399</v>
      </c>
      <c r="E24" s="2">
        <v>0.34518707817869737</v>
      </c>
      <c r="G24" s="2">
        <f t="shared" si="6"/>
        <v>3.4840869696866339E-2</v>
      </c>
      <c r="H24" s="2">
        <f t="shared" si="7"/>
        <v>0.12657988557560296</v>
      </c>
      <c r="J24" s="2"/>
      <c r="L24">
        <v>3</v>
      </c>
      <c r="M24" s="2">
        <v>0.32051962374065135</v>
      </c>
      <c r="N24" s="2">
        <v>0.23332750561909765</v>
      </c>
      <c r="O24" s="2">
        <v>0.28370566237826927</v>
      </c>
      <c r="Q24" s="2">
        <f t="shared" si="8"/>
        <v>8.7192118121553697E-2</v>
      </c>
      <c r="R24" s="2">
        <f t="shared" si="9"/>
        <v>3.6813961362382075E-2</v>
      </c>
      <c r="V24">
        <v>3</v>
      </c>
      <c r="W24" s="2">
        <v>0.27544242420562964</v>
      </c>
      <c r="X24" s="2">
        <v>0.21332041511891567</v>
      </c>
      <c r="Y24" s="2">
        <v>0.23353385653996864</v>
      </c>
      <c r="AA24" s="2">
        <f t="shared" si="10"/>
        <v>6.2122009086713975E-2</v>
      </c>
      <c r="AB24" s="2">
        <f t="shared" si="11"/>
        <v>4.1908567665661006E-2</v>
      </c>
    </row>
    <row r="25" spans="1:38" x14ac:dyDescent="0.25">
      <c r="B25">
        <v>4</v>
      </c>
      <c r="C25" s="2">
        <v>0.45192991950350364</v>
      </c>
      <c r="D25" s="2">
        <v>0.39210087654943698</v>
      </c>
      <c r="E25" s="2">
        <v>0.35869757344036796</v>
      </c>
      <c r="G25" s="2">
        <f t="shared" si="6"/>
        <v>5.9829042954066658E-2</v>
      </c>
      <c r="H25" s="2">
        <f t="shared" si="7"/>
        <v>9.3232346063135685E-2</v>
      </c>
      <c r="J25" s="2"/>
      <c r="L25">
        <v>4</v>
      </c>
      <c r="M25" s="2">
        <v>0.21275965146913933</v>
      </c>
      <c r="N25" s="2">
        <v>0.26260706901479169</v>
      </c>
      <c r="O25" s="2">
        <v>0.21603369596325236</v>
      </c>
      <c r="Q25" s="2">
        <f t="shared" si="8"/>
        <v>-4.9847417545652362E-2</v>
      </c>
      <c r="R25" s="2">
        <f t="shared" si="9"/>
        <v>-3.274044494113032E-3</v>
      </c>
      <c r="V25">
        <v>4</v>
      </c>
      <c r="W25" s="2">
        <v>0.18141855633859549</v>
      </c>
      <c r="X25" s="2">
        <v>0.206169219215148</v>
      </c>
      <c r="Y25" s="2">
        <v>0.20955083056575433</v>
      </c>
      <c r="AA25" s="2">
        <f t="shared" si="10"/>
        <v>-2.4750662876552504E-2</v>
      </c>
      <c r="AB25" s="2">
        <f t="shared" si="11"/>
        <v>-2.8132274227158832E-2</v>
      </c>
    </row>
    <row r="26" spans="1:38" x14ac:dyDescent="0.25">
      <c r="B26">
        <v>5</v>
      </c>
      <c r="C26" s="2">
        <v>0.50687471170324971</v>
      </c>
      <c r="D26" s="2">
        <v>0.42127889284018699</v>
      </c>
      <c r="E26" s="2">
        <v>0.43783923196588032</v>
      </c>
      <c r="G26" s="2">
        <f t="shared" si="6"/>
        <v>8.5595818863062723E-2</v>
      </c>
      <c r="H26" s="2">
        <f t="shared" si="7"/>
        <v>6.9035479737369398E-2</v>
      </c>
      <c r="J26" s="2"/>
      <c r="L26">
        <v>5</v>
      </c>
      <c r="M26" s="2">
        <v>0.31722934624471766</v>
      </c>
      <c r="N26" s="2">
        <v>0.36914511528870803</v>
      </c>
      <c r="O26" s="2">
        <v>0.33891018024769232</v>
      </c>
      <c r="Q26" s="2">
        <f t="shared" si="8"/>
        <v>-5.1915769043990367E-2</v>
      </c>
      <c r="R26" s="2">
        <f t="shared" si="9"/>
        <v>-2.1680834002974658E-2</v>
      </c>
      <c r="V26">
        <v>5</v>
      </c>
      <c r="W26" s="2">
        <v>0.20310881374643566</v>
      </c>
      <c r="X26" s="2">
        <v>0.23907030938304633</v>
      </c>
      <c r="Y26" s="2">
        <v>0.35027596713146997</v>
      </c>
      <c r="AA26" s="2">
        <f t="shared" si="10"/>
        <v>-3.5961495636610663E-2</v>
      </c>
      <c r="AB26" s="2">
        <f t="shared" si="11"/>
        <v>-0.1471671533850343</v>
      </c>
    </row>
    <row r="27" spans="1:38" x14ac:dyDescent="0.25">
      <c r="B27">
        <v>6</v>
      </c>
      <c r="C27" s="2">
        <v>0.44195984346580736</v>
      </c>
      <c r="D27" s="2">
        <v>0.52020209245837201</v>
      </c>
      <c r="E27" s="2">
        <v>0.54160103729183862</v>
      </c>
      <c r="G27" s="2">
        <f t="shared" si="6"/>
        <v>-7.8242248992564656E-2</v>
      </c>
      <c r="H27" s="2">
        <f t="shared" si="7"/>
        <v>-9.964119382603126E-2</v>
      </c>
      <c r="J27" s="2"/>
      <c r="L27">
        <v>6</v>
      </c>
      <c r="M27" s="2">
        <v>0.27747120722275448</v>
      </c>
      <c r="N27" s="2">
        <v>0.35321756308035401</v>
      </c>
      <c r="O27" s="2">
        <v>0.43034442409193802</v>
      </c>
      <c r="Q27" s="2">
        <f t="shared" si="8"/>
        <v>-7.5746355857599534E-2</v>
      </c>
      <c r="R27" s="2">
        <f t="shared" si="9"/>
        <v>-0.15287321686918354</v>
      </c>
      <c r="V27">
        <v>6</v>
      </c>
      <c r="W27" s="2">
        <v>0.30063950309881698</v>
      </c>
      <c r="X27" s="2">
        <v>0.34116996371434299</v>
      </c>
      <c r="Y27" s="2">
        <v>0.33718813235255807</v>
      </c>
      <c r="AA27" s="2">
        <f t="shared" si="10"/>
        <v>-4.0530460615526009E-2</v>
      </c>
      <c r="AB27" s="2">
        <f t="shared" si="11"/>
        <v>-3.6548629253741083E-2</v>
      </c>
    </row>
    <row r="28" spans="1:38" x14ac:dyDescent="0.25">
      <c r="B28">
        <v>7</v>
      </c>
      <c r="C28" s="2">
        <v>0.5</v>
      </c>
      <c r="D28">
        <v>0.49</v>
      </c>
      <c r="E28">
        <v>0.47</v>
      </c>
      <c r="G28" s="2">
        <f t="shared" si="6"/>
        <v>1.0000000000000009E-2</v>
      </c>
      <c r="H28" s="2">
        <f t="shared" si="7"/>
        <v>3.0000000000000027E-2</v>
      </c>
      <c r="J28" s="2"/>
      <c r="L28">
        <v>7</v>
      </c>
      <c r="M28" s="2">
        <v>0.3</v>
      </c>
      <c r="N28">
        <v>0.35</v>
      </c>
      <c r="O28">
        <v>0.37</v>
      </c>
      <c r="Q28" s="2">
        <f t="shared" si="8"/>
        <v>-4.9999999999999989E-2</v>
      </c>
      <c r="R28" s="2">
        <f t="shared" si="9"/>
        <v>-7.0000000000000007E-2</v>
      </c>
      <c r="V28">
        <v>7</v>
      </c>
      <c r="W28" s="2">
        <v>0.26</v>
      </c>
      <c r="X28">
        <v>0.28999999999999998</v>
      </c>
      <c r="Y28">
        <v>0.28999999999999998</v>
      </c>
      <c r="AA28" s="2">
        <f t="shared" si="10"/>
        <v>-2.9999999999999971E-2</v>
      </c>
      <c r="AB28" s="2">
        <f t="shared" si="11"/>
        <v>-2.9999999999999971E-2</v>
      </c>
    </row>
    <row r="29" spans="1:38" x14ac:dyDescent="0.25">
      <c r="B29">
        <v>8</v>
      </c>
      <c r="C29" s="2">
        <v>0.51237434907128498</v>
      </c>
      <c r="D29" s="2">
        <v>0.63533690196177128</v>
      </c>
      <c r="E29" s="2">
        <v>0.55263968202455471</v>
      </c>
      <c r="G29" s="2">
        <f t="shared" si="6"/>
        <v>-0.1229625528904863</v>
      </c>
      <c r="H29" s="2">
        <f t="shared" si="7"/>
        <v>-4.0265332953269728E-2</v>
      </c>
      <c r="J29" s="2"/>
      <c r="L29">
        <v>8</v>
      </c>
      <c r="M29" s="2">
        <v>0.43636200754752869</v>
      </c>
      <c r="N29" s="2">
        <v>0.35400018017963703</v>
      </c>
      <c r="O29" s="2">
        <v>0.43754156438531561</v>
      </c>
      <c r="Q29" s="2">
        <f t="shared" si="8"/>
        <v>8.236182736789166E-2</v>
      </c>
      <c r="R29" s="2">
        <f t="shared" si="9"/>
        <v>-1.1795568377869214E-3</v>
      </c>
      <c r="V29">
        <v>8</v>
      </c>
      <c r="W29" s="2">
        <v>0.32842234196355263</v>
      </c>
      <c r="X29" s="2">
        <v>0.30605791568949603</v>
      </c>
      <c r="Y29" s="2">
        <v>0.38461526544947128</v>
      </c>
      <c r="AA29" s="2">
        <f t="shared" si="10"/>
        <v>2.2364426274056604E-2</v>
      </c>
      <c r="AB29" s="2">
        <f t="shared" si="11"/>
        <v>-5.6192923485918644E-2</v>
      </c>
    </row>
    <row r="30" spans="1:38" x14ac:dyDescent="0.25">
      <c r="B30">
        <v>9</v>
      </c>
      <c r="C30" s="2">
        <v>0.48036124902404803</v>
      </c>
      <c r="D30" s="2">
        <v>0.50880020461828968</v>
      </c>
      <c r="E30" s="2">
        <v>0.463737838371375</v>
      </c>
      <c r="G30" s="2">
        <f t="shared" si="6"/>
        <v>-2.8438955594241644E-2</v>
      </c>
      <c r="H30" s="2">
        <f t="shared" si="7"/>
        <v>1.6623410652673032E-2</v>
      </c>
      <c r="J30" s="2"/>
      <c r="L30">
        <v>9</v>
      </c>
      <c r="M30" s="2">
        <v>0.35203803042003368</v>
      </c>
      <c r="N30" s="2">
        <v>0.30849369343517097</v>
      </c>
      <c r="O30" s="2">
        <v>0.28748920692636432</v>
      </c>
      <c r="Q30" s="2">
        <f t="shared" si="8"/>
        <v>4.3544336984862708E-2</v>
      </c>
      <c r="R30" s="2">
        <f t="shared" si="9"/>
        <v>6.4548823493669361E-2</v>
      </c>
      <c r="V30">
        <v>9</v>
      </c>
      <c r="W30" s="2">
        <v>0.34260544234261769</v>
      </c>
      <c r="X30" s="2">
        <v>0.24649366675295001</v>
      </c>
      <c r="Y30" s="2">
        <v>0.241046605634779</v>
      </c>
      <c r="AA30" s="2">
        <f t="shared" si="10"/>
        <v>9.6111775589667686E-2</v>
      </c>
      <c r="AB30" s="2">
        <f t="shared" si="11"/>
        <v>0.10155883670783869</v>
      </c>
    </row>
    <row r="31" spans="1:38" x14ac:dyDescent="0.25">
      <c r="B31">
        <v>10</v>
      </c>
      <c r="C31" s="2">
        <v>0.54097098138878563</v>
      </c>
      <c r="D31" s="2">
        <v>0.48879518957076667</v>
      </c>
      <c r="E31" s="2">
        <v>0.50930434225967536</v>
      </c>
      <c r="G31" s="2">
        <f t="shared" si="6"/>
        <v>5.2175791818018957E-2</v>
      </c>
      <c r="H31" s="2">
        <f t="shared" si="7"/>
        <v>3.1666639129110274E-2</v>
      </c>
      <c r="J31" s="2"/>
      <c r="L31">
        <v>10</v>
      </c>
      <c r="M31" s="2">
        <v>0.39065773495928963</v>
      </c>
      <c r="N31" s="2">
        <v>0.365187965275096</v>
      </c>
      <c r="O31" s="2">
        <v>0.39805331097309532</v>
      </c>
      <c r="Q31" s="2">
        <f t="shared" si="8"/>
        <v>2.5469769684193622E-2</v>
      </c>
      <c r="R31" s="2">
        <f t="shared" si="9"/>
        <v>-7.3955760138056936E-3</v>
      </c>
      <c r="V31">
        <v>10</v>
      </c>
      <c r="W31" s="2">
        <v>0.39341434621639637</v>
      </c>
      <c r="X31" s="2">
        <v>0.32748688371518769</v>
      </c>
      <c r="Y31" s="2">
        <v>0.39112212408626901</v>
      </c>
      <c r="AA31" s="2">
        <f t="shared" si="10"/>
        <v>6.5927462501208678E-2</v>
      </c>
      <c r="AB31" s="2">
        <f t="shared" si="11"/>
        <v>2.2922221301273638E-3</v>
      </c>
    </row>
    <row r="32" spans="1:38" x14ac:dyDescent="0.25">
      <c r="B32">
        <v>11</v>
      </c>
      <c r="C32" s="2">
        <v>0.60620349009683128</v>
      </c>
      <c r="D32" s="2">
        <v>0.52847328194607857</v>
      </c>
      <c r="E32" s="2">
        <v>0.48439363711703498</v>
      </c>
      <c r="G32" s="2">
        <f t="shared" si="6"/>
        <v>7.7730208150752711E-2</v>
      </c>
      <c r="H32" s="2">
        <f t="shared" si="7"/>
        <v>0.1218098529797963</v>
      </c>
      <c r="J32" s="2"/>
      <c r="L32">
        <v>11</v>
      </c>
      <c r="M32" s="2">
        <v>0.50442765980128135</v>
      </c>
      <c r="N32" s="2">
        <v>0.38419205660626038</v>
      </c>
      <c r="O32" s="2">
        <v>0.33029211139134501</v>
      </c>
      <c r="Q32" s="2">
        <f t="shared" si="8"/>
        <v>0.12023560319502097</v>
      </c>
      <c r="R32" s="2">
        <f t="shared" si="9"/>
        <v>0.17413554840993634</v>
      </c>
      <c r="V32">
        <v>11</v>
      </c>
      <c r="W32" s="2">
        <v>0.39723381753985937</v>
      </c>
      <c r="X32" s="2">
        <v>0.32997733632086695</v>
      </c>
      <c r="Y32" s="2">
        <v>0.1885167033146655</v>
      </c>
      <c r="AA32" s="2">
        <f t="shared" si="10"/>
        <v>6.7256481218992414E-2</v>
      </c>
      <c r="AB32" s="2">
        <f t="shared" si="11"/>
        <v>0.20871711422519387</v>
      </c>
    </row>
    <row r="33" spans="1:28" x14ac:dyDescent="0.25">
      <c r="B33">
        <v>12</v>
      </c>
      <c r="C33" s="2">
        <v>0.57786977724405264</v>
      </c>
      <c r="D33" s="2">
        <v>0.56619938089787591</v>
      </c>
      <c r="E33" s="2">
        <v>0.53826576206527932</v>
      </c>
      <c r="G33" s="2">
        <f t="shared" si="6"/>
        <v>1.1670396346176726E-2</v>
      </c>
      <c r="H33" s="2">
        <f t="shared" si="7"/>
        <v>3.9604015178773322E-2</v>
      </c>
      <c r="J33" s="2"/>
      <c r="L33">
        <v>12</v>
      </c>
      <c r="M33" s="2">
        <v>0.44882181483464634</v>
      </c>
      <c r="N33" s="2">
        <v>0.40302155884210561</v>
      </c>
      <c r="O33" s="2">
        <v>0.3792417481000443</v>
      </c>
      <c r="Q33" s="2">
        <f t="shared" si="8"/>
        <v>4.5800255992540728E-2</v>
      </c>
      <c r="R33" s="2">
        <f t="shared" si="9"/>
        <v>6.9580066734602042E-2</v>
      </c>
      <c r="V33">
        <v>12</v>
      </c>
      <c r="W33" s="2">
        <v>0.38940613978077238</v>
      </c>
      <c r="X33" s="2">
        <v>0.33354286297899832</v>
      </c>
      <c r="Y33" s="3">
        <v>0.25600561995037902</v>
      </c>
      <c r="AA33" s="2">
        <f t="shared" si="10"/>
        <v>5.5863276801774053E-2</v>
      </c>
      <c r="AB33" s="2">
        <f t="shared" si="11"/>
        <v>0.13340051983039336</v>
      </c>
    </row>
    <row r="35" spans="1:28" x14ac:dyDescent="0.25">
      <c r="A35" s="2"/>
      <c r="B35" s="2"/>
      <c r="C35" s="2">
        <f>AVERAGE(C22:C33)</f>
        <v>0.52003250463480144</v>
      </c>
      <c r="D35" s="2">
        <f>AVERAGE(D22:D33)</f>
        <v>0.51318571636563537</v>
      </c>
      <c r="E35" s="2">
        <f>AVERAGE(E22:E33)</f>
        <v>0.4847516297821815</v>
      </c>
      <c r="F35" s="2"/>
      <c r="G35" s="2">
        <f>AVERAGE(G22:G33)</f>
        <v>6.8467882691660388E-3</v>
      </c>
      <c r="H35" s="2">
        <f>AVERAGE(H22:H33)</f>
        <v>3.5280874852619826E-2</v>
      </c>
      <c r="I35" s="2"/>
      <c r="J35" s="2"/>
      <c r="K35" s="2"/>
      <c r="L35" s="2"/>
      <c r="M35" s="2">
        <f>AVERAGE(M22:M33)</f>
        <v>0.36959825890814707</v>
      </c>
      <c r="N35" s="2">
        <f>AVERAGE(N22:N33)</f>
        <v>0.35645876737609433</v>
      </c>
      <c r="O35" s="2">
        <f>AVERAGE(O22:O33)</f>
        <v>0.3661236533695329</v>
      </c>
      <c r="P35" s="2"/>
      <c r="Q35" s="2">
        <f>AVERAGE(Q22:Q33)</f>
        <v>1.3139491532052771E-2</v>
      </c>
      <c r="R35" s="2">
        <f>AVERAGE(R22:R33)</f>
        <v>3.4746055386142192E-3</v>
      </c>
      <c r="S35" s="2"/>
      <c r="T35" s="2"/>
      <c r="U35" s="2"/>
      <c r="V35" s="2"/>
      <c r="W35" s="2">
        <f>AVERAGE(W22:W33)</f>
        <v>0.32938792987316617</v>
      </c>
      <c r="X35" s="2">
        <f>AVERAGE(X22:X33)</f>
        <v>0.29669596648134133</v>
      </c>
      <c r="Y35" s="2">
        <f>AVERAGE(Y22:Y33)</f>
        <v>0.29145330502771294</v>
      </c>
      <c r="Z35" s="2"/>
      <c r="AA35" s="2">
        <f>AVERAGE(AA22:AA33)</f>
        <v>3.269196339182482E-2</v>
      </c>
      <c r="AB35" s="2">
        <f>AVERAGE(AB22:AB33)</f>
        <v>3.7934624845453201E-2</v>
      </c>
    </row>
    <row r="36" spans="1:28" x14ac:dyDescent="0.25">
      <c r="A36" s="2"/>
      <c r="B36" s="2"/>
      <c r="C36" s="2">
        <f>STDEV(C22:C33)</f>
        <v>5.5822205577432858E-2</v>
      </c>
      <c r="D36" s="2">
        <f>STDEV(D22:D33)</f>
        <v>7.4038634705306638E-2</v>
      </c>
      <c r="E36" s="2">
        <f>STDEV(E22:E33)</f>
        <v>7.4379433537082124E-2</v>
      </c>
      <c r="F36" s="2"/>
      <c r="G36" s="2">
        <f>STDEV(G22:G33)</f>
        <v>6.7457997805280639E-2</v>
      </c>
      <c r="H36" s="2">
        <f>STDEV(H22:H33)</f>
        <v>6.4333184061027351E-2</v>
      </c>
      <c r="I36" s="2"/>
      <c r="J36" s="2"/>
      <c r="K36" s="2"/>
      <c r="L36" s="2"/>
      <c r="M36" s="2">
        <f>STDEV(M22:M33)</f>
        <v>9.0594618984149E-2</v>
      </c>
      <c r="N36" s="2">
        <f>STDEV(N22:N33)</f>
        <v>6.7445595123509908E-2</v>
      </c>
      <c r="O36" s="2">
        <f>STDEV(O22:O33)</f>
        <v>7.7775498867609774E-2</v>
      </c>
      <c r="P36" s="2"/>
      <c r="Q36" s="2">
        <f>STDEV(Q22:Q33)</f>
        <v>6.4503813670431689E-2</v>
      </c>
      <c r="R36" s="2">
        <f>STDEV(R22:R33)</f>
        <v>8.2520547241378417E-2</v>
      </c>
      <c r="S36" s="2"/>
      <c r="T36" s="2"/>
      <c r="U36" s="2"/>
      <c r="V36" s="2"/>
      <c r="W36" s="2">
        <f>STDEV(W22:W33)</f>
        <v>9.7346275442897645E-2</v>
      </c>
      <c r="X36" s="2">
        <f>STDEV(X22:X33)</f>
        <v>5.6925252567294422E-2</v>
      </c>
      <c r="Y36" s="2">
        <f>STDEV(Y22:Y33)</f>
        <v>6.7076933746492262E-2</v>
      </c>
      <c r="Z36" s="2"/>
      <c r="AA36" s="2">
        <f>STDEV(AA22:AA33)</f>
        <v>7.0066948374932006E-2</v>
      </c>
      <c r="AB36" s="2">
        <f>STDEV(AB22:AB33)</f>
        <v>0.11501370931393738</v>
      </c>
    </row>
    <row r="40" spans="1:28" x14ac:dyDescent="0.25">
      <c r="A40" t="s">
        <v>17</v>
      </c>
      <c r="G40" t="s">
        <v>14</v>
      </c>
      <c r="H40" t="s">
        <v>15</v>
      </c>
      <c r="K40" t="s">
        <v>17</v>
      </c>
      <c r="Q40" t="s">
        <v>14</v>
      </c>
      <c r="R40" t="s">
        <v>15</v>
      </c>
      <c r="U40" t="s">
        <v>17</v>
      </c>
      <c r="AA40" t="s">
        <v>14</v>
      </c>
      <c r="AB40" t="s">
        <v>15</v>
      </c>
    </row>
    <row r="41" spans="1:28" x14ac:dyDescent="0.25">
      <c r="A41" s="1">
        <v>0.25</v>
      </c>
      <c r="B41" t="s">
        <v>1</v>
      </c>
      <c r="C41" t="s">
        <v>32</v>
      </c>
      <c r="D41" t="s">
        <v>33</v>
      </c>
      <c r="E41" t="s">
        <v>34</v>
      </c>
      <c r="G41" t="s">
        <v>13</v>
      </c>
      <c r="H41" t="s">
        <v>13</v>
      </c>
      <c r="J41" s="1"/>
      <c r="K41" s="1">
        <v>0.5</v>
      </c>
      <c r="L41" t="s">
        <v>1</v>
      </c>
      <c r="M41" t="s">
        <v>32</v>
      </c>
      <c r="N41" t="s">
        <v>33</v>
      </c>
      <c r="O41" t="s">
        <v>34</v>
      </c>
      <c r="Q41" t="s">
        <v>13</v>
      </c>
      <c r="R41" t="s">
        <v>13</v>
      </c>
      <c r="U41" s="1">
        <v>0.75</v>
      </c>
      <c r="V41" t="s">
        <v>1</v>
      </c>
      <c r="W41" t="s">
        <v>32</v>
      </c>
      <c r="X41" t="s">
        <v>33</v>
      </c>
      <c r="Y41" t="s">
        <v>34</v>
      </c>
      <c r="AA41" t="s">
        <v>13</v>
      </c>
      <c r="AB41" t="s">
        <v>13</v>
      </c>
    </row>
    <row r="42" spans="1:28" x14ac:dyDescent="0.25">
      <c r="B42">
        <v>1</v>
      </c>
      <c r="C42" s="2">
        <v>0.61452795241164004</v>
      </c>
      <c r="D42" s="2">
        <v>0.58246659436122961</v>
      </c>
      <c r="E42" s="2">
        <v>0.50133658728813568</v>
      </c>
      <c r="G42" s="2">
        <f>C42-D42</f>
        <v>3.2061358050410438E-2</v>
      </c>
      <c r="H42" s="2">
        <f>C42-E42</f>
        <v>0.11319136512350436</v>
      </c>
      <c r="J42" s="2"/>
      <c r="L42">
        <v>1</v>
      </c>
      <c r="M42" s="2">
        <v>0.41185672604839035</v>
      </c>
      <c r="N42" s="2">
        <v>0.44085018310571034</v>
      </c>
      <c r="O42" s="2">
        <v>0.34466585276185963</v>
      </c>
      <c r="Q42" s="2">
        <f>M42-N42</f>
        <v>-2.8993457057319982E-2</v>
      </c>
      <c r="R42" s="2">
        <f>M42-O42</f>
        <v>6.7190873286530728E-2</v>
      </c>
      <c r="V42">
        <v>1</v>
      </c>
      <c r="W42" s="2">
        <v>0.5019426498119276</v>
      </c>
      <c r="X42" s="2">
        <v>0.32338215491610733</v>
      </c>
      <c r="Y42" s="2">
        <v>0.23374703247638165</v>
      </c>
      <c r="AA42" s="2">
        <f>W42-X42</f>
        <v>0.17856049489582027</v>
      </c>
      <c r="AB42" s="2">
        <f>W42-Y42</f>
        <v>0.26819561733554598</v>
      </c>
    </row>
    <row r="43" spans="1:28" x14ac:dyDescent="0.25">
      <c r="B43">
        <v>2</v>
      </c>
      <c r="C43" s="2">
        <v>0.5708930189855671</v>
      </c>
      <c r="D43" s="2">
        <v>0.6180055304687716</v>
      </c>
      <c r="E43" s="2">
        <v>0.56524031976225775</v>
      </c>
      <c r="G43" s="2">
        <f t="shared" ref="G43:G53" si="12">C43-D43</f>
        <v>-4.71125114832045E-2</v>
      </c>
      <c r="H43" s="2">
        <f t="shared" ref="H43:H53" si="13">C43-E43</f>
        <v>5.6526992233093543E-3</v>
      </c>
      <c r="J43" s="2"/>
      <c r="L43">
        <v>2</v>
      </c>
      <c r="M43" s="2">
        <v>0.39450979731420505</v>
      </c>
      <c r="N43" s="2">
        <v>0.42571999781713465</v>
      </c>
      <c r="O43" s="2">
        <v>0.46192180610178868</v>
      </c>
      <c r="Q43" s="2">
        <f t="shared" ref="Q43:Q53" si="14">M43-N43</f>
        <v>-3.1210200502929608E-2</v>
      </c>
      <c r="R43" s="2">
        <f t="shared" ref="R43:R53" si="15">M43-O43</f>
        <v>-6.7412008787583633E-2</v>
      </c>
      <c r="V43">
        <v>2</v>
      </c>
      <c r="W43" s="2">
        <v>0.34160911007932232</v>
      </c>
      <c r="X43" s="2">
        <v>0.30024577883704867</v>
      </c>
      <c r="Y43" s="2">
        <v>0.33287004681372301</v>
      </c>
      <c r="AA43" s="2">
        <f t="shared" ref="AA43:AA53" si="16">W43-X43</f>
        <v>4.1363331242273649E-2</v>
      </c>
      <c r="AB43" s="2">
        <f t="shared" ref="AB43:AB53" si="17">W43-Y43</f>
        <v>8.7390632655993117E-3</v>
      </c>
    </row>
    <row r="44" spans="1:28" x14ac:dyDescent="0.25">
      <c r="B44">
        <v>3</v>
      </c>
      <c r="C44" s="2">
        <v>0.48428352135138236</v>
      </c>
      <c r="D44" s="2">
        <v>0.48197640091274968</v>
      </c>
      <c r="E44" s="2">
        <v>0.36704623739159103</v>
      </c>
      <c r="G44" s="2">
        <f t="shared" si="12"/>
        <v>2.3071204386326816E-3</v>
      </c>
      <c r="H44" s="2">
        <f t="shared" si="13"/>
        <v>0.11723728395979133</v>
      </c>
      <c r="J44" s="2"/>
      <c r="L44">
        <v>3</v>
      </c>
      <c r="M44" s="2">
        <v>0.28224705613241396</v>
      </c>
      <c r="N44" s="2">
        <v>0.232969468553715</v>
      </c>
      <c r="O44" s="2">
        <v>0.22459507469643633</v>
      </c>
      <c r="Q44" s="2">
        <f t="shared" si="14"/>
        <v>4.9277587578698961E-2</v>
      </c>
      <c r="R44" s="2">
        <f t="shared" si="15"/>
        <v>5.7651981435977634E-2</v>
      </c>
      <c r="V44">
        <v>3</v>
      </c>
      <c r="W44" s="2">
        <v>0.21032944875322102</v>
      </c>
      <c r="X44" s="2">
        <v>0.1596155145255605</v>
      </c>
      <c r="Y44" s="2">
        <v>0.11983750561017401</v>
      </c>
      <c r="AA44" s="2">
        <f t="shared" si="16"/>
        <v>5.0713934227660518E-2</v>
      </c>
      <c r="AB44" s="2">
        <f t="shared" si="17"/>
        <v>9.049194314304701E-2</v>
      </c>
    </row>
    <row r="45" spans="1:28" x14ac:dyDescent="0.25">
      <c r="B45">
        <v>4</v>
      </c>
      <c r="C45" s="2">
        <v>0.54651967833432669</v>
      </c>
      <c r="D45" s="2">
        <v>0.40327298342528334</v>
      </c>
      <c r="E45" s="2">
        <v>0.44945316950694303</v>
      </c>
      <c r="G45" s="2">
        <f t="shared" si="12"/>
        <v>0.14324669490904335</v>
      </c>
      <c r="H45" s="2">
        <f t="shared" si="13"/>
        <v>9.7066508827383657E-2</v>
      </c>
      <c r="J45" s="2"/>
      <c r="L45">
        <v>4</v>
      </c>
      <c r="M45" s="2">
        <v>0.352071556340876</v>
      </c>
      <c r="N45" s="2">
        <v>0.21676844555568966</v>
      </c>
      <c r="O45" s="2">
        <v>0.25210663739189704</v>
      </c>
      <c r="Q45" s="2">
        <f t="shared" si="14"/>
        <v>0.13530311078518634</v>
      </c>
      <c r="R45" s="2">
        <f t="shared" si="15"/>
        <v>9.9964918948978965E-2</v>
      </c>
      <c r="V45">
        <v>4</v>
      </c>
      <c r="W45" s="2">
        <v>0.33134123345748062</v>
      </c>
      <c r="X45" s="2">
        <v>0.23365900503055867</v>
      </c>
      <c r="Y45" s="2">
        <v>0.25219433113607032</v>
      </c>
      <c r="AA45" s="2">
        <f t="shared" si="16"/>
        <v>9.7682228426921952E-2</v>
      </c>
      <c r="AB45" s="2">
        <f t="shared" si="17"/>
        <v>7.9146902321410306E-2</v>
      </c>
    </row>
    <row r="46" spans="1:28" x14ac:dyDescent="0.25">
      <c r="B46">
        <v>5</v>
      </c>
      <c r="C46" s="2">
        <v>0.53986131377133195</v>
      </c>
      <c r="D46" s="2">
        <v>0.44576295837749097</v>
      </c>
      <c r="E46" s="2">
        <v>0.48344166360999868</v>
      </c>
      <c r="G46" s="2">
        <f t="shared" si="12"/>
        <v>9.4098355393840982E-2</v>
      </c>
      <c r="H46" s="2">
        <f t="shared" si="13"/>
        <v>5.6419650161333268E-2</v>
      </c>
      <c r="J46" s="2"/>
      <c r="L46">
        <v>5</v>
      </c>
      <c r="M46" s="2">
        <v>0.37179346025675325</v>
      </c>
      <c r="N46" s="2">
        <v>0.32487094772285535</v>
      </c>
      <c r="O46" s="2">
        <v>0.38482598444759097</v>
      </c>
      <c r="Q46" s="2">
        <f t="shared" si="14"/>
        <v>4.6922512533897898E-2</v>
      </c>
      <c r="R46" s="2">
        <f t="shared" si="15"/>
        <v>-1.3032524190837724E-2</v>
      </c>
      <c r="V46">
        <v>5</v>
      </c>
      <c r="W46" s="2">
        <v>0.24542873357369266</v>
      </c>
      <c r="X46" s="2">
        <v>0.23506084126965732</v>
      </c>
      <c r="Y46" s="2">
        <v>0.21232878042612</v>
      </c>
      <c r="AA46" s="2">
        <f t="shared" si="16"/>
        <v>1.0367892304035342E-2</v>
      </c>
      <c r="AB46" s="2">
        <f t="shared" si="17"/>
        <v>3.3099953147572664E-2</v>
      </c>
    </row>
    <row r="47" spans="1:28" x14ac:dyDescent="0.25">
      <c r="B47">
        <v>6</v>
      </c>
      <c r="C47" s="2">
        <v>0.60566583404091967</v>
      </c>
      <c r="D47" s="2">
        <v>0.60465751276613855</v>
      </c>
      <c r="E47" s="2">
        <v>0.65484203039703504</v>
      </c>
      <c r="G47" s="2">
        <f t="shared" si="12"/>
        <v>1.008321274781121E-3</v>
      </c>
      <c r="H47" s="2">
        <f t="shared" si="13"/>
        <v>-4.9176196356115365E-2</v>
      </c>
      <c r="J47" s="2"/>
      <c r="L47">
        <v>6</v>
      </c>
      <c r="M47" s="2">
        <v>0.42235386038668632</v>
      </c>
      <c r="N47" s="2">
        <v>0.35366652028864998</v>
      </c>
      <c r="O47" s="2">
        <v>0.42774152130110932</v>
      </c>
      <c r="Q47" s="2">
        <f t="shared" si="14"/>
        <v>6.8687340098036342E-2</v>
      </c>
      <c r="R47" s="2">
        <f t="shared" si="15"/>
        <v>-5.3876609144229981E-3</v>
      </c>
      <c r="V47">
        <v>6</v>
      </c>
      <c r="W47" s="2">
        <v>0.34285807687157499</v>
      </c>
      <c r="X47" s="2">
        <v>0.32296899327180301</v>
      </c>
      <c r="Y47" s="2">
        <v>0.33201890704655102</v>
      </c>
      <c r="AA47" s="2">
        <f t="shared" si="16"/>
        <v>1.9889083599771984E-2</v>
      </c>
      <c r="AB47" s="2">
        <f t="shared" si="17"/>
        <v>1.0839169825023975E-2</v>
      </c>
    </row>
    <row r="48" spans="1:28" x14ac:dyDescent="0.25">
      <c r="B48">
        <v>7</v>
      </c>
      <c r="C48" s="2">
        <v>0.49579447285347361</v>
      </c>
      <c r="D48" s="2">
        <v>0.49228817247069451</v>
      </c>
      <c r="E48" s="2">
        <v>0.455427259967016</v>
      </c>
      <c r="G48" s="2">
        <f t="shared" si="12"/>
        <v>3.5063003827791039E-3</v>
      </c>
      <c r="H48" s="2">
        <f t="shared" si="13"/>
        <v>4.0367212886457615E-2</v>
      </c>
      <c r="J48" s="2"/>
      <c r="L48">
        <v>7</v>
      </c>
      <c r="M48" s="2">
        <v>0.33215627571459932</v>
      </c>
      <c r="N48" s="2">
        <v>0.26361502922603997</v>
      </c>
      <c r="O48" s="2">
        <v>0.22962847254111662</v>
      </c>
      <c r="Q48" s="2">
        <f t="shared" si="14"/>
        <v>6.854124648855936E-2</v>
      </c>
      <c r="R48" s="2">
        <f t="shared" si="15"/>
        <v>0.1025278031734827</v>
      </c>
      <c r="V48">
        <v>7</v>
      </c>
      <c r="W48" s="2">
        <v>0.13389410974218499</v>
      </c>
      <c r="X48" s="2">
        <v>0.186863308815716</v>
      </c>
      <c r="Y48" s="2">
        <v>0.17922209226563166</v>
      </c>
      <c r="AA48" s="2">
        <f t="shared" si="16"/>
        <v>-5.2969199073531009E-2</v>
      </c>
      <c r="AB48" s="2">
        <f t="shared" si="17"/>
        <v>-4.5327982523446664E-2</v>
      </c>
    </row>
    <row r="49" spans="1:28" x14ac:dyDescent="0.25">
      <c r="B49">
        <v>8</v>
      </c>
      <c r="C49" s="2">
        <v>0.581424152798245</v>
      </c>
      <c r="D49" s="2">
        <v>0.60246264265679461</v>
      </c>
      <c r="E49" s="2">
        <v>0.57352210470092335</v>
      </c>
      <c r="G49" s="2">
        <f t="shared" si="12"/>
        <v>-2.1038489858549614E-2</v>
      </c>
      <c r="H49" s="2">
        <f t="shared" si="13"/>
        <v>7.9020480973216456E-3</v>
      </c>
      <c r="J49" s="2"/>
      <c r="L49">
        <v>8</v>
      </c>
      <c r="M49" s="2">
        <v>0.4138689162612546</v>
      </c>
      <c r="N49" s="2">
        <v>0.33959162921438074</v>
      </c>
      <c r="O49" s="2">
        <v>0.41811082669995664</v>
      </c>
      <c r="Q49" s="2">
        <f t="shared" si="14"/>
        <v>7.4277287046873863E-2</v>
      </c>
      <c r="R49" s="2">
        <f t="shared" si="15"/>
        <v>-4.2419104387020345E-3</v>
      </c>
      <c r="V49">
        <v>8</v>
      </c>
      <c r="W49" s="2">
        <v>0.33863637552206499</v>
      </c>
      <c r="X49" s="2">
        <v>0.36393332338122059</v>
      </c>
      <c r="Y49" s="2">
        <v>0.30229706979959897</v>
      </c>
      <c r="AA49" s="2">
        <f t="shared" si="16"/>
        <v>-2.5296947859155594E-2</v>
      </c>
      <c r="AB49" s="2">
        <f t="shared" si="17"/>
        <v>3.633930572246602E-2</v>
      </c>
    </row>
    <row r="50" spans="1:28" x14ac:dyDescent="0.25">
      <c r="B50">
        <v>9</v>
      </c>
      <c r="C50" s="2">
        <v>0.56007249699795503</v>
      </c>
      <c r="D50" s="2">
        <v>0.59148994815518996</v>
      </c>
      <c r="E50" s="2">
        <v>0.53025358459373029</v>
      </c>
      <c r="G50" s="2">
        <f t="shared" si="12"/>
        <v>-3.1417451157234932E-2</v>
      </c>
      <c r="H50" s="2">
        <f t="shared" si="13"/>
        <v>2.981891240422474E-2</v>
      </c>
      <c r="J50" s="2"/>
      <c r="L50">
        <v>9</v>
      </c>
      <c r="M50" s="2">
        <v>0.30766205018642834</v>
      </c>
      <c r="N50" s="2">
        <v>0.30197867759372837</v>
      </c>
      <c r="O50" s="2">
        <v>0.29638296589652169</v>
      </c>
      <c r="Q50" s="2">
        <f t="shared" si="14"/>
        <v>5.6833725926999645E-3</v>
      </c>
      <c r="R50" s="2">
        <f t="shared" si="15"/>
        <v>1.1279084289906649E-2</v>
      </c>
      <c r="V50">
        <v>9</v>
      </c>
      <c r="W50" s="2">
        <v>0.26306007517410801</v>
      </c>
      <c r="X50" s="2">
        <v>0.19247028839983835</v>
      </c>
      <c r="Y50" s="2">
        <v>0.28813528352694368</v>
      </c>
      <c r="AA50" s="2">
        <f t="shared" si="16"/>
        <v>7.0589786774269664E-2</v>
      </c>
      <c r="AB50" s="2">
        <f t="shared" si="17"/>
        <v>-2.5075208352835665E-2</v>
      </c>
    </row>
    <row r="51" spans="1:28" x14ac:dyDescent="0.25">
      <c r="B51">
        <v>10</v>
      </c>
      <c r="C51" s="2">
        <v>0.56412980424609993</v>
      </c>
      <c r="D51" s="2">
        <v>0.50715654097976537</v>
      </c>
      <c r="E51" s="2">
        <v>0.47011502959498869</v>
      </c>
      <c r="G51" s="2">
        <f t="shared" si="12"/>
        <v>5.6973263266334562E-2</v>
      </c>
      <c r="H51" s="2">
        <f t="shared" si="13"/>
        <v>9.4014774651111244E-2</v>
      </c>
      <c r="J51" s="2"/>
      <c r="L51">
        <v>10</v>
      </c>
      <c r="M51" s="2">
        <v>0.41353131670128168</v>
      </c>
      <c r="N51" s="2">
        <v>0.3843178567599726</v>
      </c>
      <c r="O51" s="2">
        <v>0.39125655309988838</v>
      </c>
      <c r="Q51" s="2">
        <f t="shared" si="14"/>
        <v>2.9213459941309083E-2</v>
      </c>
      <c r="R51" s="2">
        <f t="shared" si="15"/>
        <v>2.2274763601393299E-2</v>
      </c>
      <c r="V51">
        <v>10</v>
      </c>
      <c r="W51" s="2">
        <v>0.41099006195327498</v>
      </c>
      <c r="X51" s="2">
        <v>0.31496432091371102</v>
      </c>
      <c r="Y51" s="2">
        <v>0.3402741428210127</v>
      </c>
      <c r="AA51" s="2">
        <f t="shared" si="16"/>
        <v>9.6025741039563961E-2</v>
      </c>
      <c r="AB51" s="2">
        <f t="shared" si="17"/>
        <v>7.0715919132262273E-2</v>
      </c>
    </row>
    <row r="52" spans="1:28" x14ac:dyDescent="0.25">
      <c r="B52">
        <v>11</v>
      </c>
      <c r="C52" s="2">
        <v>0.55334964249055663</v>
      </c>
      <c r="D52" s="2">
        <v>0.48932820501508961</v>
      </c>
      <c r="E52" s="2">
        <v>0.53712749447152308</v>
      </c>
      <c r="G52" s="2">
        <f t="shared" si="12"/>
        <v>6.4021437475467013E-2</v>
      </c>
      <c r="H52" s="2">
        <f t="shared" si="13"/>
        <v>1.6222148019033544E-2</v>
      </c>
      <c r="J52" s="2"/>
      <c r="L52">
        <v>11</v>
      </c>
      <c r="M52" s="2">
        <v>0.39568124005800165</v>
      </c>
      <c r="N52" s="2">
        <v>0.42125454869270534</v>
      </c>
      <c r="O52" s="2">
        <v>0.34927562669792134</v>
      </c>
      <c r="Q52" s="2">
        <f t="shared" si="14"/>
        <v>-2.5573308634703695E-2</v>
      </c>
      <c r="R52" s="2">
        <f t="shared" si="15"/>
        <v>4.6405613360080311E-2</v>
      </c>
      <c r="V52">
        <v>11</v>
      </c>
      <c r="W52" s="2">
        <v>0.30899409293447366</v>
      </c>
      <c r="X52" s="2">
        <v>0.29379632429714131</v>
      </c>
      <c r="Y52" s="2">
        <v>0.285926318903716</v>
      </c>
      <c r="AA52" s="2">
        <f t="shared" si="16"/>
        <v>1.5197768637332354E-2</v>
      </c>
      <c r="AB52" s="2">
        <f t="shared" si="17"/>
        <v>2.306777403075766E-2</v>
      </c>
    </row>
    <row r="53" spans="1:28" x14ac:dyDescent="0.25">
      <c r="B53">
        <v>12</v>
      </c>
      <c r="C53" s="2">
        <v>0.57204798885907771</v>
      </c>
      <c r="D53" s="2">
        <v>0.57013393129430545</v>
      </c>
      <c r="E53" s="2">
        <v>0.51611657989304127</v>
      </c>
      <c r="G53" s="2">
        <f t="shared" si="12"/>
        <v>1.9140575647722535E-3</v>
      </c>
      <c r="H53" s="2">
        <f t="shared" si="13"/>
        <v>5.5931408966036433E-2</v>
      </c>
      <c r="J53" s="2"/>
      <c r="L53">
        <v>12</v>
      </c>
      <c r="M53" s="2">
        <v>0.44124915372627965</v>
      </c>
      <c r="N53" s="2">
        <v>0.40059235052682007</v>
      </c>
      <c r="O53" s="2">
        <v>0.36449809183142201</v>
      </c>
      <c r="Q53" s="2">
        <f t="shared" si="14"/>
        <v>4.0656803199459579E-2</v>
      </c>
      <c r="R53" s="2">
        <f t="shared" si="15"/>
        <v>7.6751061894857642E-2</v>
      </c>
      <c r="V53">
        <v>12</v>
      </c>
      <c r="W53" s="2">
        <v>0.38784936582082996</v>
      </c>
      <c r="X53" s="2">
        <v>0.41258004046671104</v>
      </c>
      <c r="Y53" s="2">
        <v>0.1894344646838165</v>
      </c>
      <c r="AA53" s="2">
        <f t="shared" si="16"/>
        <v>-2.4730674645881079E-2</v>
      </c>
      <c r="AB53" s="2">
        <f t="shared" si="17"/>
        <v>0.19841490113701346</v>
      </c>
    </row>
    <row r="55" spans="1:28" x14ac:dyDescent="0.25">
      <c r="A55" s="2"/>
      <c r="B55" s="2"/>
      <c r="C55" s="2">
        <f>AVERAGE(C42:C53)</f>
        <v>0.55738082309504799</v>
      </c>
      <c r="D55" s="2">
        <f>AVERAGE(D42:D53)</f>
        <v>0.53241678507362522</v>
      </c>
      <c r="E55" s="2">
        <f>AVERAGE(E42:E53)</f>
        <v>0.5086601717647653</v>
      </c>
      <c r="F55" s="2"/>
      <c r="G55" s="2">
        <f>AVERAGE(G42:G53)</f>
        <v>2.4964038021422705E-2</v>
      </c>
      <c r="H55" s="2">
        <f>AVERAGE(H42:H53)</f>
        <v>4.8720651330282659E-2</v>
      </c>
      <c r="I55" s="2"/>
      <c r="J55" s="2"/>
      <c r="K55" s="2"/>
      <c r="L55" s="2"/>
      <c r="M55" s="2">
        <f>AVERAGE(M42:M53)</f>
        <v>0.37824845076059749</v>
      </c>
      <c r="N55" s="2">
        <f>AVERAGE(N42:N53)</f>
        <v>0.34218297125478347</v>
      </c>
      <c r="O55" s="2">
        <f>AVERAGE(O42:O53)</f>
        <v>0.34541745112229233</v>
      </c>
      <c r="P55" s="2"/>
      <c r="Q55" s="2">
        <f>AVERAGE(Q42:Q53)</f>
        <v>3.6065479505814006E-2</v>
      </c>
      <c r="R55" s="2">
        <f>AVERAGE(R42:R53)</f>
        <v>3.2830999638305124E-2</v>
      </c>
      <c r="S55" s="2"/>
      <c r="T55" s="2"/>
      <c r="U55" s="2"/>
      <c r="V55" s="2"/>
      <c r="W55" s="2">
        <f>AVERAGE(W42:W53)</f>
        <v>0.3180777778078463</v>
      </c>
      <c r="X55" s="2">
        <f>AVERAGE(X42:X53)</f>
        <v>0.2782949911770895</v>
      </c>
      <c r="Y55" s="2">
        <f>AVERAGE(Y42:Y53)</f>
        <v>0.25569049795914495</v>
      </c>
      <c r="Z55" s="2"/>
      <c r="AA55" s="2">
        <f>AVERAGE(AA42:AA53)</f>
        <v>3.9782786630756829E-2</v>
      </c>
      <c r="AB55" s="2">
        <f>AVERAGE(AB42:AB53)</f>
        <v>6.2387279848701356E-2</v>
      </c>
    </row>
    <row r="56" spans="1:28" x14ac:dyDescent="0.25">
      <c r="A56" s="2"/>
      <c r="B56" s="2"/>
      <c r="C56" s="2">
        <f>STDEV(C42:C53)</f>
        <v>3.8379752671644368E-2</v>
      </c>
      <c r="D56" s="2">
        <f>STDEV(D42:D53)</f>
        <v>7.116180929133871E-2</v>
      </c>
      <c r="E56" s="2">
        <f>STDEV(E42:E53)</f>
        <v>7.3037248092505114E-2</v>
      </c>
      <c r="F56" s="2"/>
      <c r="G56" s="2">
        <f>STDEV(G42:G53)</f>
        <v>5.5546758295146915E-2</v>
      </c>
      <c r="H56" s="2">
        <f>STDEV(H42:H53)</f>
        <v>5.0397654236857485E-2</v>
      </c>
      <c r="I56" s="2"/>
      <c r="J56" s="2"/>
      <c r="K56" s="2"/>
      <c r="L56" s="2"/>
      <c r="M56" s="2">
        <f>STDEV(M42:M53)</f>
        <v>4.9704597050137196E-2</v>
      </c>
      <c r="N56" s="2">
        <f>STDEV(N42:N53)</f>
        <v>7.6299031511815399E-2</v>
      </c>
      <c r="O56" s="2">
        <f>STDEV(O42:O53)</f>
        <v>7.9077087853344649E-2</v>
      </c>
      <c r="P56" s="2"/>
      <c r="Q56" s="2">
        <f>STDEV(Q42:Q53)</f>
        <v>4.9789257046496012E-2</v>
      </c>
      <c r="R56" s="2">
        <f>STDEV(R42:R53)</f>
        <v>5.1201598885407422E-2</v>
      </c>
      <c r="S56" s="2"/>
      <c r="T56" s="2"/>
      <c r="U56" s="2"/>
      <c r="V56" s="2"/>
      <c r="W56" s="2">
        <f>STDEV(W42:W53)</f>
        <v>9.6763108470799858E-2</v>
      </c>
      <c r="X56" s="2">
        <f>STDEV(X42:X53)</f>
        <v>7.6949687609585232E-2</v>
      </c>
      <c r="Y56" s="2">
        <f>STDEV(Y42:Y53)</f>
        <v>7.0157896751737323E-2</v>
      </c>
      <c r="Z56" s="2"/>
      <c r="AA56" s="2">
        <f>STDEV(AA42:AA53)</f>
        <v>6.4463968002337835E-2</v>
      </c>
      <c r="AB56" s="2">
        <f>STDEV(AB42:AB53)</f>
        <v>9.038834407362871E-2</v>
      </c>
    </row>
    <row r="60" spans="1:28" x14ac:dyDescent="0.25">
      <c r="A60" t="s">
        <v>18</v>
      </c>
      <c r="G60" t="s">
        <v>14</v>
      </c>
      <c r="H60" t="s">
        <v>15</v>
      </c>
      <c r="K60" t="s">
        <v>18</v>
      </c>
      <c r="Q60" t="s">
        <v>14</v>
      </c>
      <c r="R60" t="s">
        <v>15</v>
      </c>
      <c r="U60" t="s">
        <v>18</v>
      </c>
      <c r="AA60" t="s">
        <v>14</v>
      </c>
      <c r="AB60" t="s">
        <v>15</v>
      </c>
    </row>
    <row r="61" spans="1:28" x14ac:dyDescent="0.25">
      <c r="A61" s="1">
        <v>0.25</v>
      </c>
      <c r="B61" t="s">
        <v>1</v>
      </c>
      <c r="C61" t="s">
        <v>32</v>
      </c>
      <c r="D61" t="s">
        <v>33</v>
      </c>
      <c r="E61" t="s">
        <v>34</v>
      </c>
      <c r="G61" t="s">
        <v>13</v>
      </c>
      <c r="H61" t="s">
        <v>13</v>
      </c>
      <c r="J61" s="1"/>
      <c r="K61" s="1">
        <v>0.5</v>
      </c>
      <c r="L61" t="s">
        <v>1</v>
      </c>
      <c r="M61" t="s">
        <v>32</v>
      </c>
      <c r="N61" t="s">
        <v>33</v>
      </c>
      <c r="O61" t="s">
        <v>34</v>
      </c>
      <c r="Q61" t="s">
        <v>13</v>
      </c>
      <c r="R61" t="s">
        <v>13</v>
      </c>
      <c r="U61" s="1">
        <v>0.75</v>
      </c>
      <c r="V61" t="s">
        <v>1</v>
      </c>
      <c r="W61" t="s">
        <v>32</v>
      </c>
      <c r="X61" t="s">
        <v>33</v>
      </c>
      <c r="Y61" t="s">
        <v>34</v>
      </c>
      <c r="AA61" t="s">
        <v>13</v>
      </c>
      <c r="AB61" t="s">
        <v>13</v>
      </c>
    </row>
    <row r="62" spans="1:28" x14ac:dyDescent="0.25">
      <c r="B62">
        <v>1</v>
      </c>
      <c r="C62" s="2">
        <v>0.55395604997871539</v>
      </c>
      <c r="D62" s="2">
        <v>0.59286749215698864</v>
      </c>
      <c r="E62" s="2">
        <v>0.48473102510223165</v>
      </c>
      <c r="G62" s="2">
        <f>C62-D62</f>
        <v>-3.8911442178273248E-2</v>
      </c>
      <c r="H62" s="2">
        <f>C62-E62</f>
        <v>6.9225024876483743E-2</v>
      </c>
      <c r="J62" s="2"/>
      <c r="L62">
        <v>1</v>
      </c>
      <c r="M62" s="2">
        <v>0.50866329287657408</v>
      </c>
      <c r="N62" s="2">
        <v>0.49062220937170403</v>
      </c>
      <c r="O62" s="2">
        <v>0.43245851395570495</v>
      </c>
      <c r="Q62" s="2">
        <f>M62-N62</f>
        <v>1.8041083504870048E-2</v>
      </c>
      <c r="R62" s="2">
        <f>M62-O62</f>
        <v>7.6204778920869132E-2</v>
      </c>
      <c r="V62">
        <v>1</v>
      </c>
      <c r="W62" s="2">
        <v>0.38196250246603797</v>
      </c>
      <c r="X62" s="2">
        <v>0.35407743252816037</v>
      </c>
      <c r="Y62" s="2">
        <v>0.22383458726354469</v>
      </c>
      <c r="AA62" s="2">
        <f>W62-X62</f>
        <v>2.7885069937877593E-2</v>
      </c>
      <c r="AB62" s="2">
        <f>W62-Y62</f>
        <v>0.15812791520249328</v>
      </c>
    </row>
    <row r="63" spans="1:28" x14ac:dyDescent="0.25">
      <c r="B63">
        <v>2</v>
      </c>
      <c r="C63" s="2">
        <v>0.59943173402600569</v>
      </c>
      <c r="D63" s="2">
        <v>0.56237703965565078</v>
      </c>
      <c r="E63" s="2">
        <v>0.54907143683748794</v>
      </c>
      <c r="G63" s="2">
        <f t="shared" ref="G63:G73" si="18">C63-D63</f>
        <v>3.7054694370354913E-2</v>
      </c>
      <c r="H63" s="2">
        <f t="shared" ref="H63:H73" si="19">C63-E63</f>
        <v>5.0360297188517755E-2</v>
      </c>
      <c r="J63" s="2"/>
      <c r="L63">
        <v>2</v>
      </c>
      <c r="M63" s="2">
        <v>0.38953606970354931</v>
      </c>
      <c r="N63" s="2">
        <v>0.42231877732107065</v>
      </c>
      <c r="O63" s="2">
        <v>0.46639818280222461</v>
      </c>
      <c r="Q63" s="2">
        <f t="shared" ref="Q63:Q73" si="20">M63-N63</f>
        <v>-3.2782707617521334E-2</v>
      </c>
      <c r="R63" s="2">
        <f t="shared" ref="R63:R73" si="21">M63-O63</f>
        <v>-7.68621130986753E-2</v>
      </c>
      <c r="V63">
        <v>2</v>
      </c>
      <c r="W63" s="2">
        <v>0.41111536211898203</v>
      </c>
      <c r="X63" s="2">
        <v>0.38151145868629371</v>
      </c>
      <c r="Y63" s="2">
        <v>0.35603372825218732</v>
      </c>
      <c r="AA63" s="2">
        <f t="shared" ref="AA63:AA73" si="22">W63-X63</f>
        <v>2.9603903432688317E-2</v>
      </c>
      <c r="AB63" s="2">
        <f t="shared" ref="AB63:AB73" si="23">W63-Y63</f>
        <v>5.508163386679471E-2</v>
      </c>
    </row>
    <row r="64" spans="1:28" x14ac:dyDescent="0.25">
      <c r="B64">
        <v>3</v>
      </c>
      <c r="C64" s="2">
        <v>0.4373260836918777</v>
      </c>
      <c r="D64" s="2">
        <v>0.42349832384327568</v>
      </c>
      <c r="E64" s="2">
        <v>0.44873445363650594</v>
      </c>
      <c r="G64" s="2">
        <f t="shared" si="18"/>
        <v>1.3827759848602017E-2</v>
      </c>
      <c r="H64" s="2">
        <f t="shared" si="19"/>
        <v>-1.1408369944628238E-2</v>
      </c>
      <c r="J64" s="2"/>
      <c r="L64">
        <v>3</v>
      </c>
      <c r="M64" s="2">
        <v>0.3517392536003987</v>
      </c>
      <c r="N64" s="2">
        <v>0.28168877250664404</v>
      </c>
      <c r="O64" s="2">
        <v>0.2993727691718755</v>
      </c>
      <c r="Q64" s="2">
        <f t="shared" si="20"/>
        <v>7.0050481093754668E-2</v>
      </c>
      <c r="R64" s="2">
        <f t="shared" si="21"/>
        <v>5.2366484428523208E-2</v>
      </c>
      <c r="V64">
        <v>3</v>
      </c>
      <c r="W64" s="2">
        <v>0.21902520018413899</v>
      </c>
      <c r="X64" s="2">
        <v>0.21697165721669698</v>
      </c>
      <c r="Y64" s="2">
        <v>0.19287757626861601</v>
      </c>
      <c r="AA64" s="2">
        <f t="shared" si="22"/>
        <v>2.0535429674420069E-3</v>
      </c>
      <c r="AB64" s="2">
        <f t="shared" si="23"/>
        <v>2.6147623915522972E-2</v>
      </c>
    </row>
    <row r="65" spans="1:28" x14ac:dyDescent="0.25">
      <c r="B65">
        <v>4</v>
      </c>
      <c r="C65" s="2">
        <v>0.34760545387780573</v>
      </c>
      <c r="D65" s="2">
        <v>0.43460580768920137</v>
      </c>
      <c r="E65">
        <v>0.41</v>
      </c>
      <c r="G65" s="2">
        <f t="shared" si="18"/>
        <v>-8.7000353811395648E-2</v>
      </c>
      <c r="H65" s="2">
        <f t="shared" si="19"/>
        <v>-6.239454612219425E-2</v>
      </c>
      <c r="J65" s="2"/>
      <c r="L65">
        <v>4</v>
      </c>
      <c r="M65" s="2">
        <v>0.20774867211147766</v>
      </c>
      <c r="N65" s="2">
        <v>0.23348243652599798</v>
      </c>
      <c r="O65" s="2">
        <v>0.22821671194767501</v>
      </c>
      <c r="Q65" s="2">
        <f t="shared" si="20"/>
        <v>-2.5733764414520327E-2</v>
      </c>
      <c r="R65" s="2">
        <f t="shared" si="21"/>
        <v>-2.0468039836197355E-2</v>
      </c>
      <c r="V65">
        <v>4</v>
      </c>
      <c r="W65" s="2">
        <v>0.248168594309323</v>
      </c>
      <c r="X65" s="2">
        <v>0.16221134721104566</v>
      </c>
      <c r="Y65" s="2">
        <v>0.20687084726618932</v>
      </c>
      <c r="AA65" s="2">
        <f t="shared" si="22"/>
        <v>8.5957247098277345E-2</v>
      </c>
      <c r="AB65" s="2">
        <f t="shared" si="23"/>
        <v>4.1297747043133687E-2</v>
      </c>
    </row>
    <row r="66" spans="1:28" x14ac:dyDescent="0.25">
      <c r="B66">
        <v>5</v>
      </c>
      <c r="C66" s="2">
        <v>0.48401254864664733</v>
      </c>
      <c r="D66" s="2">
        <v>0.38426669235576466</v>
      </c>
      <c r="E66" s="2">
        <v>0.42682654410026738</v>
      </c>
      <c r="G66" s="2">
        <f t="shared" si="18"/>
        <v>9.9745856290882673E-2</v>
      </c>
      <c r="H66" s="2">
        <f t="shared" si="19"/>
        <v>5.7186004546379954E-2</v>
      </c>
      <c r="J66" s="2"/>
      <c r="L66">
        <v>5</v>
      </c>
      <c r="M66" s="2">
        <v>0.36253712976971797</v>
      </c>
      <c r="N66" s="2">
        <v>0.28933213269128066</v>
      </c>
      <c r="O66" s="2">
        <v>0.27697829933792334</v>
      </c>
      <c r="Q66" s="2">
        <f t="shared" si="20"/>
        <v>7.3204997078437306E-2</v>
      </c>
      <c r="R66" s="2">
        <f t="shared" si="21"/>
        <v>8.555883043179463E-2</v>
      </c>
      <c r="V66">
        <v>5</v>
      </c>
      <c r="W66" s="2">
        <v>0.27949277402877198</v>
      </c>
      <c r="X66" s="2">
        <v>0.24483722474702732</v>
      </c>
      <c r="Y66" s="2">
        <v>0.23001043586621264</v>
      </c>
      <c r="AA66" s="2">
        <f t="shared" si="22"/>
        <v>3.4655549281744663E-2</v>
      </c>
      <c r="AB66" s="2">
        <f t="shared" si="23"/>
        <v>4.9482338162559342E-2</v>
      </c>
    </row>
    <row r="67" spans="1:28" x14ac:dyDescent="0.25">
      <c r="B67">
        <v>6</v>
      </c>
      <c r="C67" s="2">
        <v>0.53296400799554799</v>
      </c>
      <c r="D67" s="2">
        <v>0.55913309091253438</v>
      </c>
      <c r="E67" s="2">
        <v>0.53966161543160729</v>
      </c>
      <c r="G67" s="2">
        <f t="shared" si="18"/>
        <v>-2.6169082916986386E-2</v>
      </c>
      <c r="H67" s="2">
        <f t="shared" si="19"/>
        <v>-6.6976074360592941E-3</v>
      </c>
      <c r="J67" s="2"/>
      <c r="L67">
        <v>6</v>
      </c>
      <c r="M67" s="2">
        <v>0.39743790952286134</v>
      </c>
      <c r="N67" s="2">
        <v>0.33271787841789968</v>
      </c>
      <c r="O67" s="2">
        <v>0.41389306046041296</v>
      </c>
      <c r="Q67" s="2">
        <f t="shared" si="20"/>
        <v>6.4720031104961662E-2</v>
      </c>
      <c r="R67" s="2">
        <f t="shared" si="21"/>
        <v>-1.6455150937551621E-2</v>
      </c>
      <c r="V67">
        <v>6</v>
      </c>
      <c r="W67" s="2">
        <v>0.41065582091540953</v>
      </c>
      <c r="X67" s="2">
        <v>0.30009884028832562</v>
      </c>
      <c r="Y67" s="2">
        <v>0.34273597214273099</v>
      </c>
      <c r="AA67" s="2">
        <f t="shared" si="22"/>
        <v>0.11055698062708391</v>
      </c>
      <c r="AB67" s="2">
        <f t="shared" si="23"/>
        <v>6.7919848772678537E-2</v>
      </c>
    </row>
    <row r="68" spans="1:28" x14ac:dyDescent="0.25">
      <c r="B68">
        <v>7</v>
      </c>
      <c r="C68" s="2">
        <v>0.43980560453262968</v>
      </c>
      <c r="D68" s="2">
        <v>0.51296105244583268</v>
      </c>
      <c r="E68" s="2">
        <v>0.40017786386610699</v>
      </c>
      <c r="G68" s="2">
        <f t="shared" si="18"/>
        <v>-7.3155447913202998E-2</v>
      </c>
      <c r="H68" s="2">
        <f t="shared" si="19"/>
        <v>3.9627740666522693E-2</v>
      </c>
      <c r="J68" s="2"/>
      <c r="L68">
        <v>7</v>
      </c>
      <c r="M68" s="2">
        <v>0.28879396824618569</v>
      </c>
      <c r="N68" s="2">
        <v>0.25244432911653969</v>
      </c>
      <c r="O68" s="2">
        <v>0.31229208124962399</v>
      </c>
      <c r="Q68" s="2">
        <f t="shared" si="20"/>
        <v>3.6349639129646005E-2</v>
      </c>
      <c r="R68" s="2">
        <f t="shared" si="21"/>
        <v>-2.3498113003438292E-2</v>
      </c>
      <c r="V68">
        <v>7</v>
      </c>
      <c r="W68" s="2">
        <v>0.17997361421269001</v>
      </c>
      <c r="X68" s="2">
        <v>0.13720902133430998</v>
      </c>
      <c r="Y68" s="2">
        <v>0.24141841212620466</v>
      </c>
      <c r="AA68" s="2">
        <f t="shared" si="22"/>
        <v>4.2764592878380026E-2</v>
      </c>
      <c r="AB68" s="2">
        <f t="shared" si="23"/>
        <v>-6.1444797913514648E-2</v>
      </c>
    </row>
    <row r="69" spans="1:28" x14ac:dyDescent="0.25">
      <c r="B69">
        <v>8</v>
      </c>
      <c r="C69" s="2">
        <v>0.61571942805290869</v>
      </c>
      <c r="D69" s="2">
        <v>0.66529473302380371</v>
      </c>
      <c r="E69" s="2">
        <v>0.6267815694826423</v>
      </c>
      <c r="G69" s="2">
        <f t="shared" si="18"/>
        <v>-4.9575304970895018E-2</v>
      </c>
      <c r="H69" s="2">
        <f t="shared" si="19"/>
        <v>-1.1062141429733607E-2</v>
      </c>
      <c r="J69" s="2"/>
      <c r="L69">
        <v>8</v>
      </c>
      <c r="M69" s="2">
        <v>0.404062415780861</v>
      </c>
      <c r="N69" s="2">
        <v>0.39516070095893835</v>
      </c>
      <c r="O69" s="2">
        <v>0.36418218877735731</v>
      </c>
      <c r="Q69" s="2">
        <f t="shared" si="20"/>
        <v>8.9017148219226461E-3</v>
      </c>
      <c r="R69" s="2">
        <f t="shared" si="21"/>
        <v>3.9880227003503688E-2</v>
      </c>
      <c r="V69">
        <v>8</v>
      </c>
      <c r="W69" s="2">
        <v>0.35285981830832841</v>
      </c>
      <c r="X69" s="2">
        <v>0.23518451962628231</v>
      </c>
      <c r="Y69" s="2">
        <v>0.28617933500482801</v>
      </c>
      <c r="AA69" s="2">
        <f t="shared" si="22"/>
        <v>0.1176752986820461</v>
      </c>
      <c r="AB69" s="2">
        <f t="shared" si="23"/>
        <v>6.6680483303500404E-2</v>
      </c>
    </row>
    <row r="70" spans="1:28" x14ac:dyDescent="0.25">
      <c r="B70">
        <v>9</v>
      </c>
      <c r="C70" s="2">
        <v>0.44239257074450666</v>
      </c>
      <c r="D70" s="2">
        <v>0.39391114300306668</v>
      </c>
      <c r="E70" s="2">
        <v>0.43275391003983205</v>
      </c>
      <c r="G70" s="2">
        <f t="shared" si="18"/>
        <v>4.8481427741439986E-2</v>
      </c>
      <c r="H70" s="2">
        <f t="shared" si="19"/>
        <v>9.6386607046746176E-3</v>
      </c>
      <c r="J70" s="2"/>
      <c r="L70">
        <v>9</v>
      </c>
      <c r="M70" s="2">
        <v>0.341289575413185</v>
      </c>
      <c r="N70" s="2">
        <v>0.27784844912225032</v>
      </c>
      <c r="O70" s="2">
        <v>0.27231375690623899</v>
      </c>
      <c r="Q70" s="2">
        <f t="shared" si="20"/>
        <v>6.344112629093468E-2</v>
      </c>
      <c r="R70" s="2">
        <f t="shared" si="21"/>
        <v>6.8975818506946007E-2</v>
      </c>
      <c r="V70">
        <v>9</v>
      </c>
      <c r="W70" s="2">
        <v>0.2782427676588255</v>
      </c>
      <c r="X70" s="2">
        <v>0.24442372336704465</v>
      </c>
      <c r="Y70" s="2">
        <v>0.24365430012680367</v>
      </c>
      <c r="AA70" s="2">
        <f t="shared" si="22"/>
        <v>3.3819044291780842E-2</v>
      </c>
      <c r="AB70" s="2">
        <f t="shared" si="23"/>
        <v>3.4588467532021827E-2</v>
      </c>
    </row>
    <row r="71" spans="1:28" x14ac:dyDescent="0.25">
      <c r="B71">
        <v>10</v>
      </c>
      <c r="C71" s="2">
        <v>0.47762380017861794</v>
      </c>
      <c r="D71" s="2">
        <v>0.45630365188934835</v>
      </c>
      <c r="E71" s="2">
        <v>0.48631854614448339</v>
      </c>
      <c r="G71" s="2">
        <f t="shared" si="18"/>
        <v>2.1320148289269591E-2</v>
      </c>
      <c r="H71" s="2">
        <f t="shared" si="19"/>
        <v>-8.6947459658654469E-3</v>
      </c>
      <c r="J71" s="2"/>
      <c r="L71">
        <v>10</v>
      </c>
      <c r="M71" s="2">
        <v>0.32996174561608799</v>
      </c>
      <c r="N71" s="2">
        <v>0.2889409268958727</v>
      </c>
      <c r="O71" s="2">
        <v>0.26968539294511967</v>
      </c>
      <c r="Q71" s="2">
        <f t="shared" si="20"/>
        <v>4.1020818720215291E-2</v>
      </c>
      <c r="R71" s="2">
        <f t="shared" si="21"/>
        <v>6.0276352670968314E-2</v>
      </c>
      <c r="V71">
        <v>10</v>
      </c>
      <c r="W71" s="2">
        <v>0.346301061227621</v>
      </c>
      <c r="X71" s="2">
        <v>0.28815292270744436</v>
      </c>
      <c r="Y71" s="2">
        <v>0.316081808634328</v>
      </c>
      <c r="AA71" s="2">
        <f t="shared" si="22"/>
        <v>5.814813852017664E-2</v>
      </c>
      <c r="AB71" s="2">
        <f t="shared" si="23"/>
        <v>3.0219252593293E-2</v>
      </c>
    </row>
    <row r="72" spans="1:28" x14ac:dyDescent="0.25">
      <c r="B72">
        <v>11</v>
      </c>
      <c r="C72" s="2">
        <v>0.56629142217910633</v>
      </c>
      <c r="D72" s="2">
        <v>0.53476434986854493</v>
      </c>
      <c r="E72" s="2">
        <v>0.50483054722085197</v>
      </c>
      <c r="G72" s="2">
        <f t="shared" si="18"/>
        <v>3.1527072310561399E-2</v>
      </c>
      <c r="H72" s="2">
        <f t="shared" si="19"/>
        <v>6.1460874958254363E-2</v>
      </c>
      <c r="J72" s="2"/>
      <c r="L72">
        <v>11</v>
      </c>
      <c r="M72" s="2">
        <v>0.43163220676976666</v>
      </c>
      <c r="N72" s="2">
        <v>0.28988966498531432</v>
      </c>
      <c r="O72" s="2">
        <v>0.37243240615164269</v>
      </c>
      <c r="Q72" s="2">
        <f t="shared" si="20"/>
        <v>0.14174254178445234</v>
      </c>
      <c r="R72" s="2">
        <f t="shared" si="21"/>
        <v>5.9199800618123966E-2</v>
      </c>
      <c r="V72">
        <v>11</v>
      </c>
      <c r="W72" s="2">
        <v>0.39263575838698567</v>
      </c>
      <c r="X72" s="2">
        <v>0.41856902700162935</v>
      </c>
      <c r="Y72" s="2">
        <v>0.30080828292289835</v>
      </c>
      <c r="AA72" s="2">
        <f t="shared" si="22"/>
        <v>-2.5933268614643679E-2</v>
      </c>
      <c r="AB72" s="2">
        <f t="shared" si="23"/>
        <v>9.1827475464087316E-2</v>
      </c>
    </row>
    <row r="73" spans="1:28" x14ac:dyDescent="0.25">
      <c r="B73">
        <v>12</v>
      </c>
      <c r="C73" s="2">
        <v>0.59621492367231532</v>
      </c>
      <c r="D73" s="2">
        <v>0.55385032569416937</v>
      </c>
      <c r="E73" s="2">
        <v>0.56960044581833669</v>
      </c>
      <c r="G73" s="2">
        <f t="shared" si="18"/>
        <v>4.2364597978145957E-2</v>
      </c>
      <c r="H73" s="2">
        <f t="shared" si="19"/>
        <v>2.6614477853978635E-2</v>
      </c>
      <c r="J73" s="2"/>
      <c r="L73">
        <v>12</v>
      </c>
      <c r="M73" s="2">
        <v>0.45343277320425202</v>
      </c>
      <c r="N73" s="2">
        <v>0.42796142686258493</v>
      </c>
      <c r="O73" s="2">
        <v>0.42010301965265934</v>
      </c>
      <c r="Q73" s="2">
        <f t="shared" si="20"/>
        <v>2.5471346341667089E-2</v>
      </c>
      <c r="R73" s="2">
        <f t="shared" si="21"/>
        <v>3.3329753551592678E-2</v>
      </c>
      <c r="V73">
        <v>12</v>
      </c>
      <c r="W73" s="2">
        <v>0.38021612719309267</v>
      </c>
      <c r="X73" s="2">
        <v>0.33005439012815002</v>
      </c>
      <c r="Y73" s="2">
        <v>0.38148010505152169</v>
      </c>
      <c r="AA73" s="2">
        <f t="shared" si="22"/>
        <v>5.0161737064942646E-2</v>
      </c>
      <c r="AB73" s="2">
        <f t="shared" si="23"/>
        <v>-1.2639778584290218E-3</v>
      </c>
    </row>
    <row r="75" spans="1:28" x14ac:dyDescent="0.25">
      <c r="A75" s="2"/>
      <c r="B75" s="2"/>
      <c r="C75" s="2">
        <f>AVERAGE(C62:C73)</f>
        <v>0.50777863563139036</v>
      </c>
      <c r="D75" s="2">
        <f>AVERAGE(D62:D73)</f>
        <v>0.50615280854484834</v>
      </c>
      <c r="E75" s="2">
        <f>AVERAGE(E62:E73)</f>
        <v>0.48995732980669598</v>
      </c>
      <c r="F75" s="2"/>
      <c r="G75" s="2">
        <f>AVERAGE(G62:G73)</f>
        <v>1.6258270865419366E-3</v>
      </c>
      <c r="H75" s="2">
        <f>AVERAGE(H62:H73)</f>
        <v>1.7821305824694243E-2</v>
      </c>
      <c r="I75" s="2"/>
      <c r="J75" s="2"/>
      <c r="K75" s="2"/>
      <c r="L75" s="2"/>
      <c r="M75" s="2">
        <f>AVERAGE(M62:M73)</f>
        <v>0.37223625105124308</v>
      </c>
      <c r="N75" s="2">
        <f>AVERAGE(N62:N73)</f>
        <v>0.33186730873134146</v>
      </c>
      <c r="O75" s="2">
        <f>AVERAGE(O62:O73)</f>
        <v>0.34402719861320485</v>
      </c>
      <c r="P75" s="2"/>
      <c r="Q75" s="2">
        <f>AVERAGE(Q62:Q73)</f>
        <v>4.0368942319901673E-2</v>
      </c>
      <c r="R75" s="2">
        <f>AVERAGE(R62:R73)</f>
        <v>2.8209052438038253E-2</v>
      </c>
      <c r="S75" s="2"/>
      <c r="T75" s="2"/>
      <c r="U75" s="2"/>
      <c r="V75" s="2"/>
      <c r="W75" s="2">
        <f>AVERAGE(W62:W73)</f>
        <v>0.3233874500841839</v>
      </c>
      <c r="X75" s="2">
        <f>AVERAGE(X62:X73)</f>
        <v>0.27610846373686754</v>
      </c>
      <c r="Y75" s="2">
        <f>AVERAGE(Y62:Y73)</f>
        <v>0.27683211591050544</v>
      </c>
      <c r="Z75" s="2"/>
      <c r="AA75" s="2">
        <f>AVERAGE(AA62:AA73)</f>
        <v>4.7278986347316372E-2</v>
      </c>
      <c r="AB75" s="2">
        <f>AVERAGE(AB62:AB73)</f>
        <v>4.6555334173678457E-2</v>
      </c>
    </row>
    <row r="76" spans="1:28" x14ac:dyDescent="0.25">
      <c r="A76" s="2"/>
      <c r="B76" s="2"/>
      <c r="C76" s="2">
        <f>STDEV(C62:C73)</f>
        <v>8.2600741016173998E-2</v>
      </c>
      <c r="D76" s="2">
        <f>STDEV(D62:D73)</f>
        <v>8.7304993600783073E-2</v>
      </c>
      <c r="E76" s="2">
        <f>STDEV(E62:E73)</f>
        <v>7.0518366211931929E-2</v>
      </c>
      <c r="F76" s="2"/>
      <c r="G76" s="2">
        <f>STDEV(G62:G73)</f>
        <v>5.6127209110550823E-2</v>
      </c>
      <c r="H76" s="2">
        <f>STDEV(H62:H73)</f>
        <v>3.9545605929267397E-2</v>
      </c>
      <c r="I76" s="2"/>
      <c r="J76" s="2"/>
      <c r="K76" s="2"/>
      <c r="L76" s="2"/>
      <c r="M76" s="2">
        <f>STDEV(M62:M73)</f>
        <v>7.8600377728299031E-2</v>
      </c>
      <c r="N76" s="2">
        <f>STDEV(N62:N73)</f>
        <v>8.1721810068085279E-2</v>
      </c>
      <c r="O76" s="2">
        <f>STDEV(O62:O73)</f>
        <v>7.7609093420392669E-2</v>
      </c>
      <c r="P76" s="2"/>
      <c r="Q76" s="2">
        <f>STDEV(Q62:Q73)</f>
        <v>4.7490743233396679E-2</v>
      </c>
      <c r="R76" s="2">
        <f>STDEV(R62:R73)</f>
        <v>5.0513008950843798E-2</v>
      </c>
      <c r="S76" s="2"/>
      <c r="T76" s="2"/>
      <c r="U76" s="2"/>
      <c r="V76" s="2"/>
      <c r="W76" s="2">
        <f>STDEV(W62:W73)</f>
        <v>7.933997123606143E-2</v>
      </c>
      <c r="X76" s="2">
        <f>STDEV(X62:X73)</f>
        <v>8.5564481882198201E-2</v>
      </c>
      <c r="Y76" s="2">
        <f>STDEV(Y62:Y73)</f>
        <v>6.2572888582352951E-2</v>
      </c>
      <c r="Z76" s="2"/>
      <c r="AA76" s="2">
        <f>STDEV(AA62:AA73)</f>
        <v>4.160092922138655E-2</v>
      </c>
      <c r="AB76" s="2">
        <f>STDEV(AB62:AB73)</f>
        <v>5.2436665102611621E-2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FAF8A-5A2A-4013-B899-5EEA2E0E2846}">
  <dimension ref="A1:AL76"/>
  <sheetViews>
    <sheetView workbookViewId="0">
      <selection activeCell="B1" sqref="B1"/>
    </sheetView>
  </sheetViews>
  <sheetFormatPr defaultRowHeight="15" x14ac:dyDescent="0.25"/>
  <sheetData>
    <row r="1" spans="1:38" x14ac:dyDescent="0.25">
      <c r="A1" t="s">
        <v>0</v>
      </c>
      <c r="G1" t="s">
        <v>14</v>
      </c>
      <c r="H1" t="s">
        <v>15</v>
      </c>
      <c r="K1" t="s">
        <v>0</v>
      </c>
      <c r="Q1" t="s">
        <v>14</v>
      </c>
      <c r="R1" t="s">
        <v>15</v>
      </c>
      <c r="U1" t="s">
        <v>0</v>
      </c>
      <c r="AA1" t="s">
        <v>14</v>
      </c>
      <c r="AB1" t="s">
        <v>15</v>
      </c>
    </row>
    <row r="2" spans="1:38" x14ac:dyDescent="0.25">
      <c r="A2" s="1">
        <v>0.25</v>
      </c>
      <c r="B2" t="s">
        <v>1</v>
      </c>
      <c r="C2" t="s">
        <v>35</v>
      </c>
      <c r="D2" t="s">
        <v>36</v>
      </c>
      <c r="E2" t="s">
        <v>37</v>
      </c>
      <c r="G2" t="s">
        <v>13</v>
      </c>
      <c r="H2" t="s">
        <v>13</v>
      </c>
      <c r="J2" s="1"/>
      <c r="K2" s="1">
        <v>0.5</v>
      </c>
      <c r="L2" t="s">
        <v>1</v>
      </c>
      <c r="M2" t="s">
        <v>35</v>
      </c>
      <c r="N2" t="s">
        <v>36</v>
      </c>
      <c r="O2" t="s">
        <v>37</v>
      </c>
      <c r="Q2" t="s">
        <v>13</v>
      </c>
      <c r="R2" t="s">
        <v>13</v>
      </c>
      <c r="U2" s="1">
        <v>0.75</v>
      </c>
      <c r="V2" t="s">
        <v>1</v>
      </c>
      <c r="W2" t="s">
        <v>35</v>
      </c>
      <c r="X2" t="s">
        <v>36</v>
      </c>
      <c r="Y2" t="s">
        <v>37</v>
      </c>
      <c r="AA2" t="s">
        <v>13</v>
      </c>
      <c r="AB2" t="s">
        <v>13</v>
      </c>
      <c r="AE2" s="1"/>
    </row>
    <row r="3" spans="1:38" x14ac:dyDescent="0.25">
      <c r="B3">
        <v>1</v>
      </c>
      <c r="C3" s="2">
        <v>1.1348796167730801</v>
      </c>
      <c r="D3" s="2">
        <v>1.2328134460332265</v>
      </c>
      <c r="E3" s="2">
        <v>1.2337166496728467</v>
      </c>
      <c r="G3" s="2">
        <f>C3-D3</f>
        <v>-9.7933829260146377E-2</v>
      </c>
      <c r="H3" s="2">
        <f>C3-E3</f>
        <v>-9.883703289976653E-2</v>
      </c>
      <c r="J3" s="2"/>
      <c r="L3">
        <v>1</v>
      </c>
      <c r="M3" s="2">
        <v>1.2630529960318466</v>
      </c>
      <c r="N3" s="2">
        <v>1.3083156474242068</v>
      </c>
      <c r="O3" s="2">
        <v>1.2689483793153833</v>
      </c>
      <c r="Q3" s="2">
        <f>M3-N3</f>
        <v>-4.5262651392360187E-2</v>
      </c>
      <c r="R3" s="2">
        <f>M3-O3</f>
        <v>-5.8953832835366704E-3</v>
      </c>
      <c r="V3">
        <v>1</v>
      </c>
      <c r="W3" s="2">
        <v>1.3469115964510199</v>
      </c>
      <c r="X3" s="2">
        <v>1.3790704869185066</v>
      </c>
      <c r="Y3" s="2">
        <v>1.2838157055741801</v>
      </c>
      <c r="AA3" s="2">
        <f>W3-X3</f>
        <v>-3.2158890467486767E-2</v>
      </c>
      <c r="AB3" s="2">
        <f>W3-Y3</f>
        <v>6.3095890876839755E-2</v>
      </c>
      <c r="AK3" s="2"/>
      <c r="AL3" s="2"/>
    </row>
    <row r="4" spans="1:38" x14ac:dyDescent="0.25">
      <c r="B4">
        <v>2</v>
      </c>
      <c r="C4" s="2">
        <v>1.2189574166652799</v>
      </c>
      <c r="D4" s="2">
        <v>1.2412695521162966</v>
      </c>
      <c r="E4" s="2">
        <v>1.2733092624393401</v>
      </c>
      <c r="G4" s="2">
        <f t="shared" ref="G4:G14" si="0">C4-D4</f>
        <v>-2.2312135451016735E-2</v>
      </c>
      <c r="H4" s="2">
        <f t="shared" ref="H4:H14" si="1">C4-E4</f>
        <v>-5.4351845774060159E-2</v>
      </c>
      <c r="J4" s="2"/>
      <c r="L4">
        <v>2</v>
      </c>
      <c r="M4" s="2">
        <v>1.3599812011135732</v>
      </c>
      <c r="N4" s="2">
        <v>1.3582519297850599</v>
      </c>
      <c r="O4" s="2">
        <v>1.3555034122945566</v>
      </c>
      <c r="Q4" s="2">
        <f t="shared" ref="Q4:Q14" si="2">M4-N4</f>
        <v>1.7292713285133043E-3</v>
      </c>
      <c r="R4" s="2">
        <f t="shared" ref="R4:R14" si="3">M4-O4</f>
        <v>4.4777888190166149E-3</v>
      </c>
      <c r="V4">
        <v>2</v>
      </c>
      <c r="W4" s="2">
        <v>1.3010263907027966</v>
      </c>
      <c r="X4" s="2">
        <v>1.4102518406553566</v>
      </c>
      <c r="Y4" s="2">
        <v>1.4024308985081799</v>
      </c>
      <c r="AA4" s="2">
        <f t="shared" ref="AA4:AA14" si="4">W4-X4</f>
        <v>-0.10922544995256001</v>
      </c>
      <c r="AB4" s="2">
        <f t="shared" ref="AB4:AB14" si="5">W4-Y4</f>
        <v>-0.10140450780538335</v>
      </c>
      <c r="AK4" s="2"/>
      <c r="AL4" s="2"/>
    </row>
    <row r="5" spans="1:38" x14ac:dyDescent="0.25">
      <c r="B5">
        <v>3</v>
      </c>
      <c r="C5" s="2">
        <v>1.3191318618891166</v>
      </c>
      <c r="D5" s="2">
        <v>1.3898489256496134</v>
      </c>
      <c r="E5" s="2">
        <v>1.3245461013646866</v>
      </c>
      <c r="G5" s="2">
        <f t="shared" si="0"/>
        <v>-7.0717063760496801E-2</v>
      </c>
      <c r="H5" s="2">
        <f t="shared" si="1"/>
        <v>-5.4142394755700707E-3</v>
      </c>
      <c r="J5" s="2"/>
      <c r="L5">
        <v>3</v>
      </c>
      <c r="M5" s="2">
        <v>1.5272966457430199</v>
      </c>
      <c r="N5" s="2">
        <v>1.4815651281168301</v>
      </c>
      <c r="O5" s="2">
        <v>1.4844904093993501</v>
      </c>
      <c r="Q5" s="2">
        <f t="shared" si="2"/>
        <v>4.5731517626189877E-2</v>
      </c>
      <c r="R5" s="2">
        <f t="shared" si="3"/>
        <v>4.2806236343669868E-2</v>
      </c>
      <c r="V5">
        <v>3</v>
      </c>
      <c r="W5" s="2">
        <v>1.4844080633850634</v>
      </c>
      <c r="X5" s="2">
        <v>1.4815651281168301</v>
      </c>
      <c r="Y5" s="2">
        <v>1.41546289185284</v>
      </c>
      <c r="AA5" s="2">
        <f t="shared" si="4"/>
        <v>2.8429352682333153E-3</v>
      </c>
      <c r="AB5" s="2">
        <f t="shared" si="5"/>
        <v>6.8945171532223348E-2</v>
      </c>
      <c r="AK5" s="2"/>
      <c r="AL5" s="2"/>
    </row>
    <row r="6" spans="1:38" x14ac:dyDescent="0.25">
      <c r="B6">
        <v>4</v>
      </c>
      <c r="C6" s="2">
        <v>1.25589940530681</v>
      </c>
      <c r="D6" s="2">
        <v>1.3690142492874469</v>
      </c>
      <c r="E6" s="2">
        <v>1.3500567480788865</v>
      </c>
      <c r="G6" s="2">
        <f t="shared" si="0"/>
        <v>-0.11311484398063687</v>
      </c>
      <c r="H6" s="2">
        <f t="shared" si="1"/>
        <v>-9.4157342772076547E-2</v>
      </c>
      <c r="J6" s="2"/>
      <c r="L6">
        <v>4</v>
      </c>
      <c r="M6" s="2">
        <v>1.5285335147685633</v>
      </c>
      <c r="N6" s="2">
        <v>1.4503361623001068</v>
      </c>
      <c r="O6" s="2">
        <v>1.4196476888968634</v>
      </c>
      <c r="Q6" s="2">
        <f t="shared" si="2"/>
        <v>7.8197352468456494E-2</v>
      </c>
      <c r="R6" s="2">
        <f t="shared" si="3"/>
        <v>0.10888582587169982</v>
      </c>
      <c r="V6">
        <v>4</v>
      </c>
      <c r="W6" s="2">
        <v>1.5040373726180902</v>
      </c>
      <c r="X6" s="2">
        <v>1.5460615063579033</v>
      </c>
      <c r="Y6" s="2">
        <v>1.4671758634372465</v>
      </c>
      <c r="AA6" s="2">
        <f t="shared" si="4"/>
        <v>-4.2024133739813063E-2</v>
      </c>
      <c r="AB6" s="2">
        <f t="shared" si="5"/>
        <v>3.6861509180843743E-2</v>
      </c>
      <c r="AK6" s="2"/>
      <c r="AL6" s="2"/>
    </row>
    <row r="7" spans="1:38" x14ac:dyDescent="0.25">
      <c r="B7">
        <v>5</v>
      </c>
      <c r="C7" s="2">
        <v>1.4157288862836366</v>
      </c>
      <c r="D7" s="2">
        <v>1.3811158292936199</v>
      </c>
      <c r="E7" s="2">
        <v>1.3394010179752669</v>
      </c>
      <c r="G7" s="2">
        <f t="shared" si="0"/>
        <v>3.4613056990016711E-2</v>
      </c>
      <c r="H7" s="2">
        <f t="shared" si="1"/>
        <v>7.6327868308369684E-2</v>
      </c>
      <c r="J7" s="2"/>
      <c r="L7">
        <v>5</v>
      </c>
      <c r="M7" s="2">
        <v>1.35550945876427</v>
      </c>
      <c r="N7" s="2">
        <v>1.4098226448542699</v>
      </c>
      <c r="O7" s="2">
        <v>1.3627749929753732</v>
      </c>
      <c r="Q7" s="2">
        <f t="shared" si="2"/>
        <v>-5.431318608999991E-2</v>
      </c>
      <c r="R7" s="2">
        <f t="shared" si="3"/>
        <v>-7.2655342111032084E-3</v>
      </c>
      <c r="V7">
        <v>5</v>
      </c>
      <c r="W7" s="2">
        <v>1.3306321658860201</v>
      </c>
      <c r="X7" s="2">
        <v>1.4565353192430199</v>
      </c>
      <c r="Y7" s="2">
        <v>1.4690502739203632</v>
      </c>
      <c r="AA7" s="2">
        <f t="shared" si="4"/>
        <v>-0.12590315335699986</v>
      </c>
      <c r="AB7" s="2">
        <f t="shared" si="5"/>
        <v>-0.13841810803434318</v>
      </c>
      <c r="AK7" s="2"/>
      <c r="AL7" s="2"/>
    </row>
    <row r="8" spans="1:38" x14ac:dyDescent="0.25">
      <c r="B8">
        <v>6</v>
      </c>
      <c r="C8" s="2">
        <v>1.2737206369879932</v>
      </c>
      <c r="D8" s="2">
        <v>1.2660992031987732</v>
      </c>
      <c r="E8" s="2">
        <v>1.3143023237329901</v>
      </c>
      <c r="G8" s="2">
        <f t="shared" si="0"/>
        <v>7.6214337892199779E-3</v>
      </c>
      <c r="H8" s="2">
        <f t="shared" si="1"/>
        <v>-4.0581686744996848E-2</v>
      </c>
      <c r="J8" s="2"/>
      <c r="L8">
        <v>6</v>
      </c>
      <c r="M8" s="2">
        <v>1.3064283785577666</v>
      </c>
      <c r="N8" s="2">
        <v>1.3770071592549751</v>
      </c>
      <c r="O8" s="2">
        <v>1.3804437287325699</v>
      </c>
      <c r="Q8" s="2">
        <f t="shared" si="2"/>
        <v>-7.0578780697208465E-2</v>
      </c>
      <c r="R8" s="2">
        <f t="shared" si="3"/>
        <v>-7.4015350174803318E-2</v>
      </c>
      <c r="V8">
        <v>6</v>
      </c>
      <c r="W8" s="2">
        <v>1.33283294892183</v>
      </c>
      <c r="X8" s="2">
        <v>1.4013484130785434</v>
      </c>
      <c r="Y8" s="2">
        <v>1.3462052130645532</v>
      </c>
      <c r="AA8" s="2">
        <f t="shared" si="4"/>
        <v>-6.851546415671339E-2</v>
      </c>
      <c r="AB8" s="2">
        <f t="shared" si="5"/>
        <v>-1.3372264142723189E-2</v>
      </c>
      <c r="AK8" s="2"/>
      <c r="AL8" s="2"/>
    </row>
    <row r="9" spans="1:38" x14ac:dyDescent="0.25">
      <c r="B9">
        <v>7</v>
      </c>
      <c r="C9" s="2">
        <v>1.2390563484514099</v>
      </c>
      <c r="D9" s="2">
        <v>1.18781941223681</v>
      </c>
      <c r="E9" s="2">
        <v>1.2843988939163469</v>
      </c>
      <c r="G9" s="2">
        <f t="shared" si="0"/>
        <v>5.1236936214599904E-2</v>
      </c>
      <c r="H9" s="2">
        <f t="shared" si="1"/>
        <v>-4.534254546493699E-2</v>
      </c>
      <c r="J9" s="2"/>
      <c r="L9">
        <v>7</v>
      </c>
      <c r="M9" s="2">
        <v>1.46344300228312</v>
      </c>
      <c r="N9" s="2">
        <v>1.4636033280199034</v>
      </c>
      <c r="O9" s="2">
        <v>1.4275916744095667</v>
      </c>
      <c r="Q9" s="2">
        <f t="shared" si="2"/>
        <v>-1.6032573678348427E-4</v>
      </c>
      <c r="R9" s="2">
        <f t="shared" si="3"/>
        <v>3.5851327873553274E-2</v>
      </c>
      <c r="V9">
        <v>7</v>
      </c>
      <c r="W9" s="2">
        <v>1.4265737546829</v>
      </c>
      <c r="X9" s="2">
        <v>1.37390418206272</v>
      </c>
      <c r="Y9" s="2">
        <v>1.5232718162801699</v>
      </c>
      <c r="AA9" s="2">
        <f t="shared" si="4"/>
        <v>5.2669572620180016E-2</v>
      </c>
      <c r="AB9" s="2">
        <f t="shared" si="5"/>
        <v>-9.6698061597269902E-2</v>
      </c>
      <c r="AG9" s="3"/>
      <c r="AK9" s="2"/>
      <c r="AL9" s="2"/>
    </row>
    <row r="10" spans="1:38" x14ac:dyDescent="0.25">
      <c r="B10">
        <v>8</v>
      </c>
      <c r="C10" s="2">
        <v>1.18254635885339</v>
      </c>
      <c r="D10" s="2">
        <v>1.2318237517411801</v>
      </c>
      <c r="E10" s="2">
        <v>1.2216142428380234</v>
      </c>
      <c r="G10" s="2">
        <f t="shared" si="0"/>
        <v>-4.9277392887790095E-2</v>
      </c>
      <c r="H10" s="2">
        <f t="shared" si="1"/>
        <v>-3.9067883984633456E-2</v>
      </c>
      <c r="J10" s="2"/>
      <c r="L10">
        <v>8</v>
      </c>
      <c r="M10" s="2">
        <v>1.3529559975815999</v>
      </c>
      <c r="N10" s="2">
        <v>1.3503088945955366</v>
      </c>
      <c r="O10" s="2">
        <v>1.3102617248873833</v>
      </c>
      <c r="Q10" s="2">
        <f t="shared" si="2"/>
        <v>2.6471029860632989E-3</v>
      </c>
      <c r="R10" s="2">
        <f t="shared" si="3"/>
        <v>4.2694272694216551E-2</v>
      </c>
      <c r="V10">
        <v>8</v>
      </c>
      <c r="W10" s="2">
        <v>1.3461560538680066</v>
      </c>
      <c r="X10" s="2">
        <v>1.3614421317708534</v>
      </c>
      <c r="Y10" s="2">
        <v>1.3301292270104665</v>
      </c>
      <c r="AA10" s="2">
        <f t="shared" si="4"/>
        <v>-1.5286077902846751E-2</v>
      </c>
      <c r="AB10" s="2">
        <f t="shared" si="5"/>
        <v>1.6026826857540089E-2</v>
      </c>
      <c r="AK10" s="2"/>
      <c r="AL10" s="2"/>
    </row>
    <row r="11" spans="1:38" x14ac:dyDescent="0.25">
      <c r="B11">
        <v>9</v>
      </c>
      <c r="C11" s="2">
        <v>1.3028878390324135</v>
      </c>
      <c r="D11" s="2">
        <v>1.32416715066764</v>
      </c>
      <c r="E11" s="2">
        <v>1.3236063317630868</v>
      </c>
      <c r="G11" s="2">
        <f t="shared" si="0"/>
        <v>-2.1279311635226561E-2</v>
      </c>
      <c r="H11" s="2">
        <f t="shared" si="1"/>
        <v>-2.0718492730673388E-2</v>
      </c>
      <c r="J11" s="2"/>
      <c r="L11">
        <v>9</v>
      </c>
      <c r="M11" s="2">
        <v>1.4372678431703401</v>
      </c>
      <c r="N11" s="2">
        <v>1.4762377606460202</v>
      </c>
      <c r="O11" s="2">
        <v>1.4875679155600834</v>
      </c>
      <c r="Q11" s="2">
        <f t="shared" si="2"/>
        <v>-3.8969917475680127E-2</v>
      </c>
      <c r="R11" s="2">
        <f t="shared" si="3"/>
        <v>-5.0300072389743322E-2</v>
      </c>
      <c r="V11">
        <v>9</v>
      </c>
      <c r="W11" s="2">
        <v>1.5248581924786333</v>
      </c>
      <c r="X11" s="2">
        <v>1.5058398281919132</v>
      </c>
      <c r="Y11" s="2">
        <v>1.4668516475636633</v>
      </c>
      <c r="AA11" s="2">
        <f t="shared" si="4"/>
        <v>1.9018364286720102E-2</v>
      </c>
      <c r="AB11" s="2">
        <f t="shared" si="5"/>
        <v>5.8006544914970037E-2</v>
      </c>
      <c r="AK11" s="2"/>
      <c r="AL11" s="2"/>
    </row>
    <row r="12" spans="1:38" x14ac:dyDescent="0.25">
      <c r="B12">
        <v>10</v>
      </c>
      <c r="C12" s="2">
        <v>1.2689320370138066</v>
      </c>
      <c r="D12" s="2">
        <v>1.3138951730861466</v>
      </c>
      <c r="E12" s="2">
        <v>1.3141170491895233</v>
      </c>
      <c r="G12" s="2">
        <f t="shared" si="0"/>
        <v>-4.4963136072339926E-2</v>
      </c>
      <c r="H12" s="2">
        <f t="shared" si="1"/>
        <v>-4.5185012175716688E-2</v>
      </c>
      <c r="J12" s="2"/>
      <c r="L12">
        <v>10</v>
      </c>
      <c r="M12" s="2">
        <v>1.4059301987836468</v>
      </c>
      <c r="N12" s="2">
        <v>1.4754794901993034</v>
      </c>
      <c r="O12" s="2">
        <v>1.4009292042064232</v>
      </c>
      <c r="Q12" s="2">
        <f t="shared" si="2"/>
        <v>-6.9549291415656578E-2</v>
      </c>
      <c r="R12" s="2">
        <f t="shared" si="3"/>
        <v>5.0009945772235831E-3</v>
      </c>
      <c r="V12">
        <v>10</v>
      </c>
      <c r="W12" s="2">
        <v>1.4263395301354065</v>
      </c>
      <c r="X12" s="2">
        <v>1.37704066236384</v>
      </c>
      <c r="Y12" s="2">
        <v>1.3947533197267301</v>
      </c>
      <c r="AA12" s="2">
        <f t="shared" si="4"/>
        <v>4.9298867771566446E-2</v>
      </c>
      <c r="AB12" s="2">
        <f t="shared" si="5"/>
        <v>3.1586210408676374E-2</v>
      </c>
      <c r="AK12" s="2"/>
      <c r="AL12" s="2"/>
    </row>
    <row r="13" spans="1:38" x14ac:dyDescent="0.25">
      <c r="B13">
        <v>11</v>
      </c>
      <c r="C13" s="2">
        <v>1.2031165354356201</v>
      </c>
      <c r="D13" s="2">
        <v>1.1322114592350701</v>
      </c>
      <c r="E13" s="2">
        <v>1.13994486915674</v>
      </c>
      <c r="G13" s="2">
        <f t="shared" si="0"/>
        <v>7.0905076200550088E-2</v>
      </c>
      <c r="H13" s="2">
        <f t="shared" si="1"/>
        <v>6.3171666278880156E-2</v>
      </c>
      <c r="J13" s="2"/>
      <c r="L13">
        <v>11</v>
      </c>
      <c r="M13" s="2">
        <v>1.4107831937779265</v>
      </c>
      <c r="N13" s="2">
        <v>1.4477779853504202</v>
      </c>
      <c r="O13" s="2">
        <v>1.4382162177667233</v>
      </c>
      <c r="Q13" s="2">
        <f t="shared" si="2"/>
        <v>-3.6994791572493746E-2</v>
      </c>
      <c r="R13" s="2">
        <f t="shared" si="3"/>
        <v>-2.7433023988796768E-2</v>
      </c>
      <c r="V13">
        <v>11</v>
      </c>
      <c r="W13" s="2">
        <v>1.3774595262611502</v>
      </c>
      <c r="X13" s="2">
        <v>1.28812952741944</v>
      </c>
      <c r="Y13" s="2">
        <v>1.41150158406842</v>
      </c>
      <c r="AA13" s="2">
        <f t="shared" si="4"/>
        <v>8.9329998841710223E-2</v>
      </c>
      <c r="AB13" s="2">
        <f t="shared" si="5"/>
        <v>-3.4042057807269765E-2</v>
      </c>
      <c r="AK13" s="2"/>
      <c r="AL13" s="2"/>
    </row>
    <row r="14" spans="1:38" x14ac:dyDescent="0.25">
      <c r="B14">
        <v>12</v>
      </c>
      <c r="C14" s="2">
        <v>1.1540327671471367</v>
      </c>
      <c r="D14" s="2">
        <v>1.2293217315852467</v>
      </c>
      <c r="E14" s="2">
        <v>1.19424710467168</v>
      </c>
      <c r="G14" s="2">
        <f t="shared" si="0"/>
        <v>-7.5288964438110062E-2</v>
      </c>
      <c r="H14" s="2">
        <f t="shared" si="1"/>
        <v>-4.0214337524543398E-2</v>
      </c>
      <c r="J14" s="2"/>
      <c r="L14">
        <v>12</v>
      </c>
      <c r="M14" s="2">
        <v>1.2329165408147167</v>
      </c>
      <c r="N14" s="2">
        <v>1.2937431908793535</v>
      </c>
      <c r="O14" s="2">
        <v>1.3381519930970367</v>
      </c>
      <c r="Q14" s="2">
        <f t="shared" si="2"/>
        <v>-6.0826650064636834E-2</v>
      </c>
      <c r="R14" s="2">
        <f t="shared" si="3"/>
        <v>-0.10523545228232001</v>
      </c>
      <c r="V14">
        <v>12</v>
      </c>
      <c r="W14" s="2">
        <v>1.292452630817535</v>
      </c>
      <c r="X14" s="2">
        <v>1.3886422382720451</v>
      </c>
      <c r="Y14" s="2">
        <v>1.43708118410381</v>
      </c>
      <c r="AA14" s="2">
        <f t="shared" si="4"/>
        <v>-9.6189607454510107E-2</v>
      </c>
      <c r="AB14" s="2">
        <f t="shared" si="5"/>
        <v>-0.144628553286275</v>
      </c>
      <c r="AI14" s="3"/>
      <c r="AK14" s="2"/>
      <c r="AL14" s="2"/>
    </row>
    <row r="16" spans="1:38" x14ac:dyDescent="0.25">
      <c r="A16" s="2"/>
      <c r="B16" s="2"/>
      <c r="C16" s="2">
        <f>AVERAGE(C3:C14)</f>
        <v>1.2474074758199745</v>
      </c>
      <c r="D16" s="2">
        <f>AVERAGE(D3:D14)</f>
        <v>1.2749499903442556</v>
      </c>
      <c r="E16" s="2">
        <f>AVERAGE(E3:E14)</f>
        <v>1.276105049566618</v>
      </c>
      <c r="F16" s="2"/>
      <c r="G16" s="2">
        <f>AVERAGE(G3:G14)</f>
        <v>-2.7542514524281397E-2</v>
      </c>
      <c r="H16" s="2">
        <f>AVERAGE(H3:H14)</f>
        <v>-2.8697573746643685E-2</v>
      </c>
      <c r="I16" s="2"/>
      <c r="J16" s="2"/>
      <c r="K16" s="2"/>
      <c r="L16" s="2"/>
      <c r="M16" s="2">
        <f>AVERAGE(M3:M14)</f>
        <v>1.3870082476158656</v>
      </c>
      <c r="N16" s="2">
        <f>AVERAGE(N3:N14)</f>
        <v>1.4077041101188321</v>
      </c>
      <c r="O16" s="2">
        <f>AVERAGE(O3:O14)</f>
        <v>1.3895439451284426</v>
      </c>
      <c r="P16" s="2"/>
      <c r="Q16" s="2">
        <f>AVERAGE(Q3:Q14)</f>
        <v>-2.0695862502966362E-2</v>
      </c>
      <c r="R16" s="2">
        <f>AVERAGE(R3:R14)</f>
        <v>-2.5356975125769656E-3</v>
      </c>
      <c r="S16" s="2"/>
      <c r="T16" s="2"/>
      <c r="U16" s="2"/>
      <c r="V16" s="2"/>
      <c r="W16" s="2">
        <f>AVERAGE(W3:W14)</f>
        <v>1.3911406855173709</v>
      </c>
      <c r="X16" s="2">
        <f>AVERAGE(X3:X14)</f>
        <v>1.4141526053709141</v>
      </c>
      <c r="Y16" s="2">
        <f>AVERAGE(Y3:Y14)</f>
        <v>1.4123108020925519</v>
      </c>
      <c r="Z16" s="2"/>
      <c r="AA16" s="2">
        <f>AVERAGE(AA3:AA14)</f>
        <v>-2.3011919853543322E-2</v>
      </c>
      <c r="AB16" s="2">
        <f>AVERAGE(AB3:AB14)</f>
        <v>-2.1170116575180919E-2</v>
      </c>
      <c r="AG16" s="3"/>
      <c r="AH16" s="3"/>
      <c r="AI16" s="3"/>
      <c r="AK16" s="3"/>
      <c r="AL16" s="3"/>
    </row>
    <row r="17" spans="1:38" x14ac:dyDescent="0.25">
      <c r="A17" s="2"/>
      <c r="B17" s="2"/>
      <c r="C17" s="2">
        <f>STDEV(C3:C14)</f>
        <v>7.7583686137343871E-2</v>
      </c>
      <c r="D17" s="2">
        <f>STDEV(D3:D14)</f>
        <v>8.0991652044868342E-2</v>
      </c>
      <c r="E17" s="2">
        <f>STDEV(E3:E14)</f>
        <v>6.5411307837574831E-2</v>
      </c>
      <c r="F17" s="2"/>
      <c r="G17" s="2">
        <f>STDEV(G3:G14)</f>
        <v>5.8977454719994382E-2</v>
      </c>
      <c r="H17" s="2">
        <f>STDEV(H3:H14)</f>
        <v>5.297430674678702E-2</v>
      </c>
      <c r="I17" s="2"/>
      <c r="J17" s="2"/>
      <c r="K17" s="2"/>
      <c r="L17" s="2"/>
      <c r="M17" s="2">
        <f>STDEV(M3:M14)</f>
        <v>9.414026639724779E-2</v>
      </c>
      <c r="N17" s="2">
        <f>STDEV(N3:N14)</f>
        <v>6.7987713333668265E-2</v>
      </c>
      <c r="O17" s="2">
        <f>STDEV(O3:O14)</f>
        <v>6.6677140340779581E-2</v>
      </c>
      <c r="P17" s="2"/>
      <c r="Q17" s="2">
        <f>STDEV(Q3:Q14)</f>
        <v>4.7175344700321621E-2</v>
      </c>
      <c r="R17" s="2">
        <f>STDEV(R3:R14)</f>
        <v>5.7751429003494323E-2</v>
      </c>
      <c r="S17" s="2"/>
      <c r="T17" s="2"/>
      <c r="U17" s="2"/>
      <c r="V17" s="2"/>
      <c r="W17" s="2">
        <f>STDEV(W3:W14)</f>
        <v>8.0287717469792991E-2</v>
      </c>
      <c r="X17" s="2">
        <f>STDEV(X3:X14)</f>
        <v>7.1264798726409437E-2</v>
      </c>
      <c r="Y17" s="2">
        <f>STDEV(Y3:Y14)</f>
        <v>6.7542164027971224E-2</v>
      </c>
      <c r="Z17" s="2"/>
      <c r="AA17" s="2">
        <f>STDEV(AA3:AA14)</f>
        <v>6.8730044057307108E-2</v>
      </c>
      <c r="AB17" s="2">
        <f>STDEV(AB3:AB14)</f>
        <v>7.9990101431989175E-2</v>
      </c>
      <c r="AG17" s="3"/>
      <c r="AH17" s="3"/>
      <c r="AI17" s="3"/>
      <c r="AK17" s="3"/>
      <c r="AL17" s="3"/>
    </row>
    <row r="20" spans="1:38" x14ac:dyDescent="0.25">
      <c r="A20" t="s">
        <v>16</v>
      </c>
      <c r="G20" t="s">
        <v>14</v>
      </c>
      <c r="H20" t="s">
        <v>15</v>
      </c>
      <c r="K20" t="s">
        <v>16</v>
      </c>
      <c r="Q20" t="s">
        <v>14</v>
      </c>
      <c r="R20" t="s">
        <v>15</v>
      </c>
      <c r="U20" t="s">
        <v>16</v>
      </c>
      <c r="AA20" t="s">
        <v>14</v>
      </c>
      <c r="AB20" t="s">
        <v>15</v>
      </c>
    </row>
    <row r="21" spans="1:38" x14ac:dyDescent="0.25">
      <c r="A21" s="1">
        <v>0.25</v>
      </c>
      <c r="B21" t="s">
        <v>1</v>
      </c>
      <c r="C21" t="s">
        <v>35</v>
      </c>
      <c r="D21" t="s">
        <v>36</v>
      </c>
      <c r="E21" t="s">
        <v>37</v>
      </c>
      <c r="G21" t="s">
        <v>13</v>
      </c>
      <c r="H21" t="s">
        <v>13</v>
      </c>
      <c r="J21" s="1"/>
      <c r="K21" s="1">
        <v>0.5</v>
      </c>
      <c r="L21" t="s">
        <v>1</v>
      </c>
      <c r="M21" t="s">
        <v>35</v>
      </c>
      <c r="N21" t="s">
        <v>36</v>
      </c>
      <c r="O21" t="s">
        <v>37</v>
      </c>
      <c r="Q21" t="s">
        <v>13</v>
      </c>
      <c r="R21" t="s">
        <v>13</v>
      </c>
      <c r="U21" s="1">
        <v>0.75</v>
      </c>
      <c r="V21" t="s">
        <v>1</v>
      </c>
      <c r="W21" t="s">
        <v>35</v>
      </c>
      <c r="X21" t="s">
        <v>36</v>
      </c>
      <c r="Y21" t="s">
        <v>37</v>
      </c>
      <c r="AA21" t="s">
        <v>13</v>
      </c>
      <c r="AB21" t="s">
        <v>13</v>
      </c>
    </row>
    <row r="22" spans="1:38" x14ac:dyDescent="0.25">
      <c r="B22">
        <v>1</v>
      </c>
      <c r="C22" s="2">
        <v>1.1874114374760267</v>
      </c>
      <c r="D22" s="2">
        <v>1.1685648518896266</v>
      </c>
      <c r="E22" s="2">
        <v>1.2040957981209732</v>
      </c>
      <c r="G22" s="2">
        <f>C22-D22</f>
        <v>1.8846585586400177E-2</v>
      </c>
      <c r="H22" s="2">
        <f>C22-E22</f>
        <v>-1.6684360644946494E-2</v>
      </c>
      <c r="J22" s="2"/>
      <c r="L22">
        <v>1</v>
      </c>
      <c r="M22" s="2">
        <v>1.2330636594539699</v>
      </c>
      <c r="N22" s="2">
        <v>1.24267597033374</v>
      </c>
      <c r="O22" s="2">
        <v>1.2950585654078468</v>
      </c>
      <c r="Q22" s="2">
        <f>M22-N22</f>
        <v>-9.6123108797701029E-3</v>
      </c>
      <c r="R22" s="2">
        <f>M22-O22</f>
        <v>-6.1994905953876911E-2</v>
      </c>
      <c r="V22">
        <v>1</v>
      </c>
      <c r="W22" s="2">
        <v>1.2795864134254733</v>
      </c>
      <c r="X22" s="2">
        <v>1.3074653778776</v>
      </c>
      <c r="Y22" s="2">
        <v>1.3400767471774568</v>
      </c>
      <c r="AA22" s="2">
        <f>W22-X22</f>
        <v>-2.7878964452126676E-2</v>
      </c>
      <c r="AB22" s="2">
        <f>W22-Y22</f>
        <v>-6.0490333751983538E-2</v>
      </c>
    </row>
    <row r="23" spans="1:38" x14ac:dyDescent="0.25">
      <c r="B23">
        <v>2</v>
      </c>
      <c r="C23" s="2">
        <v>1.2676395486281133</v>
      </c>
      <c r="D23" s="2">
        <v>1.2653751404621367</v>
      </c>
      <c r="E23" s="2">
        <v>1.2602400319855767</v>
      </c>
      <c r="G23" s="2">
        <f t="shared" ref="G23:G33" si="6">C23-D23</f>
        <v>2.2644081659766169E-3</v>
      </c>
      <c r="H23" s="2">
        <f t="shared" ref="H23:H33" si="7">C23-E23</f>
        <v>7.3995166425366854E-3</v>
      </c>
      <c r="J23" s="2"/>
      <c r="L23">
        <v>2</v>
      </c>
      <c r="M23" s="2">
        <v>1.4120288534366765</v>
      </c>
      <c r="N23" s="2">
        <v>1.3467300042730133</v>
      </c>
      <c r="O23" s="2">
        <v>1.3039964524201233</v>
      </c>
      <c r="Q23" s="2">
        <f t="shared" ref="Q23:Q33" si="8">M23-N23</f>
        <v>6.5298849163663242E-2</v>
      </c>
      <c r="R23" s="2">
        <f t="shared" ref="R23:R33" si="9">M23-O23</f>
        <v>0.1080324010165532</v>
      </c>
      <c r="V23">
        <v>2</v>
      </c>
      <c r="W23" s="2">
        <v>1.4128425740640267</v>
      </c>
      <c r="X23" s="2">
        <v>1.3843521416258033</v>
      </c>
      <c r="Y23" s="2">
        <v>1.4068935086934833</v>
      </c>
      <c r="AA23" s="2">
        <f t="shared" ref="AA23:AA33" si="10">W23-X23</f>
        <v>2.8490432438223356E-2</v>
      </c>
      <c r="AB23" s="2">
        <f t="shared" ref="AB23:AB33" si="11">W23-Y23</f>
        <v>5.9490653705434049E-3</v>
      </c>
    </row>
    <row r="24" spans="1:38" x14ac:dyDescent="0.25">
      <c r="B24">
        <v>3</v>
      </c>
      <c r="C24" s="2">
        <v>1.3360618901831334</v>
      </c>
      <c r="D24" s="2">
        <v>1.3337295400390332</v>
      </c>
      <c r="E24" s="2">
        <v>1.3891419898695567</v>
      </c>
      <c r="G24" s="2">
        <f t="shared" si="6"/>
        <v>2.3323501441001593E-3</v>
      </c>
      <c r="H24" s="2">
        <f t="shared" si="7"/>
        <v>-5.3080099686423354E-2</v>
      </c>
      <c r="J24" s="2"/>
      <c r="L24">
        <v>3</v>
      </c>
      <c r="M24" s="2">
        <v>1.3909497968810534</v>
      </c>
      <c r="N24" s="2">
        <v>1.4237929503795101</v>
      </c>
      <c r="O24" s="2">
        <v>1.44948615721328</v>
      </c>
      <c r="Q24" s="2">
        <f t="shared" si="8"/>
        <v>-3.284315349845679E-2</v>
      </c>
      <c r="R24" s="2">
        <f t="shared" si="9"/>
        <v>-5.8536360332226645E-2</v>
      </c>
      <c r="V24">
        <v>3</v>
      </c>
      <c r="W24" s="2">
        <v>1.4660678967113665</v>
      </c>
      <c r="X24" s="2">
        <v>1.4712839858440734</v>
      </c>
      <c r="Y24" s="2">
        <v>1.4783784639666466</v>
      </c>
      <c r="AA24" s="2">
        <f t="shared" si="10"/>
        <v>-5.2160891327068803E-3</v>
      </c>
      <c r="AB24" s="2">
        <f t="shared" si="11"/>
        <v>-1.2310567255280125E-2</v>
      </c>
    </row>
    <row r="25" spans="1:38" x14ac:dyDescent="0.25">
      <c r="B25">
        <v>4</v>
      </c>
      <c r="C25" s="2">
        <v>1.3151194569463933</v>
      </c>
      <c r="D25" s="2">
        <v>1.41244521288525</v>
      </c>
      <c r="E25" s="2">
        <v>1.3828827995974999</v>
      </c>
      <c r="G25" s="2">
        <f t="shared" si="6"/>
        <v>-9.7325755938856728E-2</v>
      </c>
      <c r="H25" s="2">
        <f t="shared" si="7"/>
        <v>-6.7763342651106617E-2</v>
      </c>
      <c r="J25" s="2"/>
      <c r="L25">
        <v>4</v>
      </c>
      <c r="M25" s="2">
        <v>1.4899490704284466</v>
      </c>
      <c r="N25" s="2">
        <v>1.4678170580619969</v>
      </c>
      <c r="O25" s="2">
        <v>1.5053199699218365</v>
      </c>
      <c r="Q25" s="2">
        <f t="shared" si="8"/>
        <v>2.2132012366449683E-2</v>
      </c>
      <c r="R25" s="2">
        <f t="shared" si="9"/>
        <v>-1.5370899493389878E-2</v>
      </c>
      <c r="V25">
        <v>4</v>
      </c>
      <c r="W25" s="2">
        <v>1.5656217607483649</v>
      </c>
      <c r="X25" s="2">
        <v>1.5207022959789001</v>
      </c>
      <c r="Y25" s="2">
        <v>1.5205766706833599</v>
      </c>
      <c r="AA25" s="2">
        <f t="shared" si="10"/>
        <v>4.4919464769464845E-2</v>
      </c>
      <c r="AB25" s="2">
        <f t="shared" si="11"/>
        <v>4.5045090065005011E-2</v>
      </c>
    </row>
    <row r="26" spans="1:38" x14ac:dyDescent="0.25">
      <c r="B26">
        <v>5</v>
      </c>
      <c r="C26" s="2">
        <v>1.2245735760760432</v>
      </c>
      <c r="D26" s="2">
        <v>1.3482313531950567</v>
      </c>
      <c r="E26" s="2">
        <v>1.3044590361462067</v>
      </c>
      <c r="G26" s="2">
        <f t="shared" si="6"/>
        <v>-0.12365777711901349</v>
      </c>
      <c r="H26" s="2">
        <f t="shared" si="7"/>
        <v>-7.9885460070163505E-2</v>
      </c>
      <c r="J26" s="2"/>
      <c r="L26">
        <v>5</v>
      </c>
      <c r="M26" s="2">
        <v>1.3880904415217701</v>
      </c>
      <c r="N26" s="2">
        <v>1.3246297064097032</v>
      </c>
      <c r="O26" s="2">
        <v>1.3183350838934098</v>
      </c>
      <c r="Q26" s="2">
        <f t="shared" si="8"/>
        <v>6.3460735112066846E-2</v>
      </c>
      <c r="R26" s="2">
        <f t="shared" si="9"/>
        <v>6.9755357628360271E-2</v>
      </c>
      <c r="V26">
        <v>5</v>
      </c>
      <c r="W26" s="2">
        <v>1.48098437289955</v>
      </c>
      <c r="X26" s="2">
        <v>1.4115710785409699</v>
      </c>
      <c r="Y26" s="2">
        <v>1.3779025120497435</v>
      </c>
      <c r="AA26" s="2">
        <f t="shared" si="10"/>
        <v>6.9413294358580124E-2</v>
      </c>
      <c r="AB26" s="2">
        <f t="shared" si="11"/>
        <v>0.10308186084980653</v>
      </c>
    </row>
    <row r="27" spans="1:38" x14ac:dyDescent="0.25">
      <c r="B27">
        <v>6</v>
      </c>
      <c r="C27" s="2">
        <v>1.2980167018272868</v>
      </c>
      <c r="D27" s="2">
        <v>1.2568652089271899</v>
      </c>
      <c r="E27" s="2">
        <v>1.2466375516803867</v>
      </c>
      <c r="G27" s="2">
        <f t="shared" si="6"/>
        <v>4.1151492900096898E-2</v>
      </c>
      <c r="H27" s="2">
        <f t="shared" si="7"/>
        <v>5.1379150146900088E-2</v>
      </c>
      <c r="J27" s="2"/>
      <c r="L27">
        <v>6</v>
      </c>
      <c r="M27" s="2">
        <v>1.4205194097813099</v>
      </c>
      <c r="N27" s="2">
        <v>1.39479967587397</v>
      </c>
      <c r="O27" s="2">
        <v>1.29807126810055</v>
      </c>
      <c r="Q27" s="2">
        <f t="shared" si="8"/>
        <v>2.5719733907339837E-2</v>
      </c>
      <c r="R27" s="2">
        <f t="shared" si="9"/>
        <v>0.1224481416807599</v>
      </c>
      <c r="V27">
        <v>6</v>
      </c>
      <c r="W27" s="2">
        <v>1.401785270271525</v>
      </c>
      <c r="X27" s="2">
        <v>1.39178483779022</v>
      </c>
      <c r="Y27" s="2">
        <v>1.3566893855784767</v>
      </c>
      <c r="AA27" s="2">
        <f t="shared" si="10"/>
        <v>1.0000432481304999E-2</v>
      </c>
      <c r="AB27" s="2">
        <f t="shared" si="11"/>
        <v>4.509588469304826E-2</v>
      </c>
    </row>
    <row r="28" spans="1:38" x14ac:dyDescent="0.25">
      <c r="B28">
        <v>7</v>
      </c>
      <c r="C28" s="2">
        <v>1.29</v>
      </c>
      <c r="D28" s="2">
        <v>1.3</v>
      </c>
      <c r="E28" s="2">
        <v>1.3</v>
      </c>
      <c r="G28" s="2">
        <f t="shared" si="6"/>
        <v>-1.0000000000000009E-2</v>
      </c>
      <c r="H28" s="2">
        <f t="shared" si="7"/>
        <v>-1.0000000000000009E-2</v>
      </c>
      <c r="J28" s="2"/>
      <c r="L28">
        <v>7</v>
      </c>
      <c r="M28" s="2">
        <v>1.42</v>
      </c>
      <c r="N28">
        <v>1.37</v>
      </c>
      <c r="O28">
        <v>1.36</v>
      </c>
      <c r="Q28" s="2">
        <f t="shared" si="8"/>
        <v>4.9999999999999822E-2</v>
      </c>
      <c r="R28" s="2">
        <f t="shared" si="9"/>
        <v>5.9999999999999831E-2</v>
      </c>
      <c r="V28">
        <v>7</v>
      </c>
      <c r="W28" s="2">
        <v>1.47</v>
      </c>
      <c r="X28">
        <v>1.41</v>
      </c>
      <c r="Y28">
        <v>1.41</v>
      </c>
      <c r="AA28" s="2">
        <f t="shared" si="10"/>
        <v>6.0000000000000053E-2</v>
      </c>
      <c r="AB28" s="2">
        <f t="shared" si="11"/>
        <v>6.0000000000000053E-2</v>
      </c>
    </row>
    <row r="29" spans="1:38" x14ac:dyDescent="0.25">
      <c r="B29">
        <v>8</v>
      </c>
      <c r="C29" s="2">
        <v>1.2487542851206868</v>
      </c>
      <c r="D29" s="2">
        <v>1.1870894431185635</v>
      </c>
      <c r="E29" s="2">
        <v>1.1779658063157934</v>
      </c>
      <c r="G29" s="2">
        <f t="shared" si="6"/>
        <v>6.1664842002123299E-2</v>
      </c>
      <c r="H29" s="2">
        <f t="shared" si="7"/>
        <v>7.0788478804893362E-2</v>
      </c>
      <c r="J29" s="2"/>
      <c r="L29">
        <v>8</v>
      </c>
      <c r="M29" s="2">
        <v>1.2993767423772933</v>
      </c>
      <c r="N29" s="2">
        <v>1.3595750612449935</v>
      </c>
      <c r="O29" s="2">
        <v>1.2830806339451666</v>
      </c>
      <c r="Q29" s="2">
        <f t="shared" si="8"/>
        <v>-6.0198318867700218E-2</v>
      </c>
      <c r="R29" s="2">
        <f t="shared" si="9"/>
        <v>1.6296108432126699E-2</v>
      </c>
      <c r="V29">
        <v>8</v>
      </c>
      <c r="W29" s="2">
        <v>1.4015364023178132</v>
      </c>
      <c r="X29" s="2">
        <v>1.4076278501411268</v>
      </c>
      <c r="Y29" s="2">
        <v>1.4013451103408936</v>
      </c>
      <c r="AA29" s="2">
        <f t="shared" si="10"/>
        <v>-6.0914478233136116E-3</v>
      </c>
      <c r="AB29" s="2">
        <f t="shared" si="11"/>
        <v>1.9129197691958311E-4</v>
      </c>
    </row>
    <row r="30" spans="1:38" x14ac:dyDescent="0.25">
      <c r="B30">
        <v>9</v>
      </c>
      <c r="C30" s="2">
        <v>1.2818089408981199</v>
      </c>
      <c r="D30" s="2">
        <v>1.30191151001759</v>
      </c>
      <c r="E30" s="2">
        <v>1.3111371930023399</v>
      </c>
      <c r="G30" s="2">
        <f t="shared" si="6"/>
        <v>-2.010256911947006E-2</v>
      </c>
      <c r="H30" s="2">
        <f t="shared" si="7"/>
        <v>-2.9328252104219965E-2</v>
      </c>
      <c r="J30" s="2"/>
      <c r="L30">
        <v>9</v>
      </c>
      <c r="M30" s="2">
        <v>1.4253112177123033</v>
      </c>
      <c r="N30" s="2">
        <v>1.4141632838920499</v>
      </c>
      <c r="O30" s="2">
        <v>1.48407974122276</v>
      </c>
      <c r="Q30" s="2">
        <f t="shared" si="8"/>
        <v>1.1147933820253364E-2</v>
      </c>
      <c r="R30" s="2">
        <f t="shared" si="9"/>
        <v>-5.8768523510456694E-2</v>
      </c>
      <c r="V30">
        <v>9</v>
      </c>
      <c r="W30" s="2">
        <v>1.3988036584459931</v>
      </c>
      <c r="X30" s="2">
        <v>1.5062295766163598</v>
      </c>
      <c r="Y30" s="2">
        <v>1.4930085960618034</v>
      </c>
      <c r="AA30" s="2">
        <f t="shared" si="10"/>
        <v>-0.10742591817036673</v>
      </c>
      <c r="AB30" s="2">
        <f t="shared" si="11"/>
        <v>-9.420493761581028E-2</v>
      </c>
    </row>
    <row r="31" spans="1:38" x14ac:dyDescent="0.25">
      <c r="B31">
        <v>10</v>
      </c>
      <c r="C31" s="2">
        <v>1.2780413723408202</v>
      </c>
      <c r="D31" s="2">
        <v>1.2702332796891067</v>
      </c>
      <c r="E31" s="2">
        <v>1.2911646309408</v>
      </c>
      <c r="G31" s="2">
        <f t="shared" si="6"/>
        <v>7.8080926517134497E-3</v>
      </c>
      <c r="H31" s="2">
        <f t="shared" si="7"/>
        <v>-1.312325859997987E-2</v>
      </c>
      <c r="J31" s="2"/>
      <c r="L31">
        <v>10</v>
      </c>
      <c r="M31" s="2">
        <v>1.3721047704275433</v>
      </c>
      <c r="N31" s="2">
        <v>1.3934038634746935</v>
      </c>
      <c r="O31" s="2">
        <v>1.3571775665277299</v>
      </c>
      <c r="Q31" s="2">
        <f t="shared" si="8"/>
        <v>-2.1299093047150164E-2</v>
      </c>
      <c r="R31" s="2">
        <f t="shared" si="9"/>
        <v>1.492720389981339E-2</v>
      </c>
      <c r="V31">
        <v>10</v>
      </c>
      <c r="W31" s="2">
        <v>1.3479258029050101</v>
      </c>
      <c r="X31" s="2">
        <v>1.4353654450435667</v>
      </c>
      <c r="Y31" s="2">
        <v>1.3969131367552434</v>
      </c>
      <c r="AA31" s="2">
        <f t="shared" si="10"/>
        <v>-8.7439642138556595E-2</v>
      </c>
      <c r="AB31" s="2">
        <f t="shared" si="11"/>
        <v>-4.898733385023335E-2</v>
      </c>
    </row>
    <row r="32" spans="1:38" x14ac:dyDescent="0.25">
      <c r="B32">
        <v>11</v>
      </c>
      <c r="C32" s="2">
        <v>1.1685696014907032</v>
      </c>
      <c r="D32" s="2">
        <v>1.1936462181305936</v>
      </c>
      <c r="E32" s="2">
        <v>1.1457272593622934</v>
      </c>
      <c r="G32" s="2">
        <f t="shared" si="6"/>
        <v>-2.5076616639890359E-2</v>
      </c>
      <c r="H32" s="2">
        <f t="shared" si="7"/>
        <v>2.2842342128409854E-2</v>
      </c>
      <c r="J32" s="2"/>
      <c r="L32">
        <v>11</v>
      </c>
      <c r="M32" s="2">
        <v>1.2605486742168066</v>
      </c>
      <c r="N32" s="2">
        <v>1.4047066590112165</v>
      </c>
      <c r="O32" s="2">
        <v>1.4515130495749167</v>
      </c>
      <c r="Q32" s="2">
        <f t="shared" si="8"/>
        <v>-0.14415798479440989</v>
      </c>
      <c r="R32" s="2">
        <f t="shared" si="9"/>
        <v>-0.19096437535811006</v>
      </c>
      <c r="V32">
        <v>11</v>
      </c>
      <c r="W32" s="2">
        <v>1.2867966767059134</v>
      </c>
      <c r="X32" s="2">
        <v>1.33342912451569</v>
      </c>
      <c r="Y32" s="2">
        <v>1.5629787897325351</v>
      </c>
      <c r="AA32" s="2">
        <f t="shared" si="10"/>
        <v>-4.66324478097766E-2</v>
      </c>
      <c r="AB32" s="2">
        <f t="shared" si="11"/>
        <v>-0.27618211302662177</v>
      </c>
    </row>
    <row r="33" spans="1:28" x14ac:dyDescent="0.25">
      <c r="B33">
        <v>12</v>
      </c>
      <c r="C33" s="2">
        <v>1.1787735335872866</v>
      </c>
      <c r="D33" s="2">
        <v>1.1820472009893668</v>
      </c>
      <c r="E33" s="2">
        <v>1.1761670971926101</v>
      </c>
      <c r="G33" s="2">
        <f t="shared" si="6"/>
        <v>-3.2736674020801271E-3</v>
      </c>
      <c r="H33" s="2">
        <f t="shared" si="7"/>
        <v>2.6064363946765035E-3</v>
      </c>
      <c r="J33" s="2"/>
      <c r="L33">
        <v>12</v>
      </c>
      <c r="M33" s="2">
        <v>1.3054423643997699</v>
      </c>
      <c r="N33" s="2">
        <v>1.2721484835843799</v>
      </c>
      <c r="O33" s="2">
        <v>1.3389224851032167</v>
      </c>
      <c r="Q33" s="2">
        <f t="shared" si="8"/>
        <v>3.3293880815389976E-2</v>
      </c>
      <c r="R33" s="2">
        <f t="shared" si="9"/>
        <v>-3.3480120703446747E-2</v>
      </c>
      <c r="V33">
        <v>12</v>
      </c>
      <c r="W33" s="2">
        <v>1.2769205452362933</v>
      </c>
      <c r="X33" s="2">
        <v>1.3459776870473465</v>
      </c>
      <c r="Y33" s="2">
        <v>1.4098368586534402</v>
      </c>
      <c r="AA33" s="2">
        <f t="shared" si="10"/>
        <v>-6.9057141811053269E-2</v>
      </c>
      <c r="AB33" s="2">
        <f t="shared" si="11"/>
        <v>-0.13291631341714694</v>
      </c>
    </row>
    <row r="35" spans="1:28" x14ac:dyDescent="0.25">
      <c r="A35" s="2"/>
      <c r="B35" s="2"/>
      <c r="C35" s="2">
        <f>AVERAGE(C22:C33)</f>
        <v>1.2562308620478841</v>
      </c>
      <c r="D35" s="2">
        <f>AVERAGE(D22:D33)</f>
        <v>1.268344913278626</v>
      </c>
      <c r="E35" s="2">
        <f>AVERAGE(E22:E33)</f>
        <v>1.2658015995178362</v>
      </c>
      <c r="F35" s="2"/>
      <c r="G35" s="2">
        <f>AVERAGE(G22:G33)</f>
        <v>-1.2114051230741682E-2</v>
      </c>
      <c r="H35" s="2">
        <f>AVERAGE(H22:H33)</f>
        <v>-9.570737469951943E-3</v>
      </c>
      <c r="I35" s="2"/>
      <c r="J35" s="2"/>
      <c r="K35" s="2"/>
      <c r="L35" s="2"/>
      <c r="M35" s="2">
        <f>AVERAGE(M22:M33)</f>
        <v>1.3681154167197453</v>
      </c>
      <c r="N35" s="2">
        <f>AVERAGE(N22:N33)</f>
        <v>1.3678702263782723</v>
      </c>
      <c r="O35" s="2">
        <f>AVERAGE(O22:O33)</f>
        <v>1.3704200811109029</v>
      </c>
      <c r="P35" s="2"/>
      <c r="Q35" s="2">
        <f>AVERAGE(Q22:Q33)</f>
        <v>2.4519034147296725E-4</v>
      </c>
      <c r="R35" s="2">
        <f>AVERAGE(R22:R33)</f>
        <v>-2.3046643911578033E-3</v>
      </c>
      <c r="S35" s="2"/>
      <c r="T35" s="2"/>
      <c r="U35" s="2"/>
      <c r="V35" s="2"/>
      <c r="W35" s="2">
        <f>AVERAGE(W22:W33)</f>
        <v>1.3990726144776107</v>
      </c>
      <c r="X35" s="2">
        <f>AVERAGE(X22:X33)</f>
        <v>1.4104824500851383</v>
      </c>
      <c r="Y35" s="2">
        <f>AVERAGE(Y22:Y33)</f>
        <v>1.4295499816410902</v>
      </c>
      <c r="Z35" s="2"/>
      <c r="AA35" s="2">
        <f>AVERAGE(AA22:AA33)</f>
        <v>-1.1409835607527249E-2</v>
      </c>
      <c r="AB35" s="2">
        <f>AVERAGE(AB22:AB33)</f>
        <v>-3.047736716347943E-2</v>
      </c>
    </row>
    <row r="36" spans="1:28" x14ac:dyDescent="0.25">
      <c r="A36" s="2"/>
      <c r="B36" s="2"/>
      <c r="C36" s="2">
        <f>STDEV(C22:C33)</f>
        <v>5.5157374717936372E-2</v>
      </c>
      <c r="D36" s="2">
        <f>STDEV(D22:D33)</f>
        <v>7.584704785589215E-2</v>
      </c>
      <c r="E36" s="2">
        <f>STDEV(E22:E33)</f>
        <v>7.9003165720950383E-2</v>
      </c>
      <c r="F36" s="2"/>
      <c r="G36" s="2">
        <f>STDEV(G22:G33)</f>
        <v>5.2283265406918661E-2</v>
      </c>
      <c r="H36" s="2">
        <f>STDEV(H22:H33)</f>
        <v>4.5062325588952616E-2</v>
      </c>
      <c r="I36" s="2"/>
      <c r="J36" s="2"/>
      <c r="K36" s="2"/>
      <c r="L36" s="2"/>
      <c r="M36" s="2">
        <f>STDEV(M22:M33)</f>
        <v>7.6799740038250963E-2</v>
      </c>
      <c r="N36" s="2">
        <f>STDEV(N22:N33)</f>
        <v>6.4116444556380742E-2</v>
      </c>
      <c r="O36" s="2">
        <f>STDEV(O22:O33)</f>
        <v>8.027616328392799E-2</v>
      </c>
      <c r="P36" s="2"/>
      <c r="Q36" s="2">
        <f>STDEV(Q22:Q33)</f>
        <v>5.969974538286623E-2</v>
      </c>
      <c r="R36" s="2">
        <f>STDEV(R22:R33)</f>
        <v>8.7439949632669128E-2</v>
      </c>
      <c r="S36" s="2"/>
      <c r="T36" s="2"/>
      <c r="U36" s="2"/>
      <c r="V36" s="2"/>
      <c r="W36" s="2">
        <f>STDEV(W22:W33)</f>
        <v>8.9742202408603464E-2</v>
      </c>
      <c r="X36" s="2">
        <f>STDEV(X22:X33)</f>
        <v>6.5632914272707107E-2</v>
      </c>
      <c r="Y36" s="2">
        <f>STDEV(Y22:Y33)</f>
        <v>6.8507937039819528E-2</v>
      </c>
      <c r="Z36" s="2"/>
      <c r="AA36" s="2">
        <f>STDEV(AA22:AA33)</f>
        <v>5.7805715251712478E-2</v>
      </c>
      <c r="AB36" s="2">
        <f>STDEV(AB22:AB33)</f>
        <v>0.1027821277677142</v>
      </c>
    </row>
    <row r="40" spans="1:28" x14ac:dyDescent="0.25">
      <c r="A40" t="s">
        <v>17</v>
      </c>
      <c r="G40" t="s">
        <v>14</v>
      </c>
      <c r="H40" t="s">
        <v>15</v>
      </c>
      <c r="K40" t="s">
        <v>17</v>
      </c>
      <c r="Q40" t="s">
        <v>14</v>
      </c>
      <c r="R40" t="s">
        <v>15</v>
      </c>
      <c r="U40" t="s">
        <v>17</v>
      </c>
      <c r="AA40" t="s">
        <v>14</v>
      </c>
      <c r="AB40" t="s">
        <v>15</v>
      </c>
    </row>
    <row r="41" spans="1:28" x14ac:dyDescent="0.25">
      <c r="A41" s="1">
        <v>0.25</v>
      </c>
      <c r="B41" t="s">
        <v>1</v>
      </c>
      <c r="C41" t="s">
        <v>35</v>
      </c>
      <c r="D41" t="s">
        <v>36</v>
      </c>
      <c r="E41" t="s">
        <v>37</v>
      </c>
      <c r="G41" t="s">
        <v>13</v>
      </c>
      <c r="H41" t="s">
        <v>13</v>
      </c>
      <c r="J41" s="1"/>
      <c r="K41" s="1">
        <v>0.5</v>
      </c>
      <c r="L41" t="s">
        <v>1</v>
      </c>
      <c r="M41" t="s">
        <v>35</v>
      </c>
      <c r="N41" t="s">
        <v>36</v>
      </c>
      <c r="O41" t="s">
        <v>37</v>
      </c>
      <c r="Q41" t="s">
        <v>13</v>
      </c>
      <c r="R41" t="s">
        <v>13</v>
      </c>
      <c r="U41" s="1">
        <v>0.75</v>
      </c>
      <c r="V41" t="s">
        <v>1</v>
      </c>
      <c r="W41" t="s">
        <v>35</v>
      </c>
      <c r="X41" t="s">
        <v>36</v>
      </c>
      <c r="Y41" t="s">
        <v>37</v>
      </c>
      <c r="AA41" t="s">
        <v>13</v>
      </c>
      <c r="AB41" t="s">
        <v>13</v>
      </c>
    </row>
    <row r="42" spans="1:28" x14ac:dyDescent="0.25">
      <c r="B42">
        <v>1</v>
      </c>
      <c r="C42" s="2">
        <v>1.16372909785677</v>
      </c>
      <c r="D42" s="2">
        <v>1.2144103691149131</v>
      </c>
      <c r="E42" s="2">
        <v>1.2735170324172131</v>
      </c>
      <c r="G42" s="2">
        <f>C42-D42</f>
        <v>-5.0681271258143035E-2</v>
      </c>
      <c r="H42" s="2">
        <f>C42-E42</f>
        <v>-0.10978793456044311</v>
      </c>
      <c r="J42" s="2"/>
      <c r="L42">
        <v>1</v>
      </c>
      <c r="M42" s="2">
        <v>1.3035815755844034</v>
      </c>
      <c r="N42" s="2">
        <v>1.2820757552825699</v>
      </c>
      <c r="O42" s="2">
        <v>1.3639134245342766</v>
      </c>
      <c r="Q42" s="2">
        <f>M42-N42</f>
        <v>2.1505820301833456E-2</v>
      </c>
      <c r="R42" s="2">
        <f>M42-O42</f>
        <v>-6.0331848949873201E-2</v>
      </c>
      <c r="V42">
        <v>1</v>
      </c>
      <c r="W42" s="2">
        <v>1.2748750508251068</v>
      </c>
      <c r="X42" s="2">
        <v>1.3782384828346099</v>
      </c>
      <c r="Y42" s="2">
        <v>1.4562602373483833</v>
      </c>
      <c r="AA42" s="2">
        <f>W42-X42</f>
        <v>-0.10336343200950315</v>
      </c>
      <c r="AB42" s="2">
        <f>W42-Y42</f>
        <v>-0.18138518652327651</v>
      </c>
    </row>
    <row r="43" spans="1:28" x14ac:dyDescent="0.25">
      <c r="B43">
        <v>2</v>
      </c>
      <c r="C43" s="2">
        <v>1.2217199882352201</v>
      </c>
      <c r="D43" s="2">
        <v>1.1555994404405734</v>
      </c>
      <c r="E43" s="2">
        <v>1.2446954828744901</v>
      </c>
      <c r="G43" s="2">
        <f t="shared" ref="G43:G53" si="12">C43-D43</f>
        <v>6.6120547794646711E-2</v>
      </c>
      <c r="H43" s="2">
        <f t="shared" ref="H43:H53" si="13">C43-E43</f>
        <v>-2.2975494639269955E-2</v>
      </c>
      <c r="J43" s="2"/>
      <c r="L43">
        <v>2</v>
      </c>
      <c r="M43" s="2">
        <v>1.3997704233798967</v>
      </c>
      <c r="N43" s="2">
        <v>1.3715243276993665</v>
      </c>
      <c r="O43" s="2">
        <v>1.3546423810260702</v>
      </c>
      <c r="Q43" s="2">
        <f t="shared" ref="Q43:Q53" si="14">M43-N43</f>
        <v>2.8246095680530159E-2</v>
      </c>
      <c r="R43" s="2">
        <f t="shared" ref="R43:R53" si="15">M43-O43</f>
        <v>4.5128042353826503E-2</v>
      </c>
      <c r="V43">
        <v>2</v>
      </c>
      <c r="W43" s="2">
        <v>1.4098985923584</v>
      </c>
      <c r="X43" s="2">
        <v>1.4079611254977566</v>
      </c>
      <c r="Y43" s="2">
        <v>1.4371511261275234</v>
      </c>
      <c r="AA43" s="2">
        <f t="shared" ref="AA43:AA53" si="16">W43-X43</f>
        <v>1.9374668606433332E-3</v>
      </c>
      <c r="AB43" s="2">
        <f t="shared" ref="AB43:AB53" si="17">W43-Y43</f>
        <v>-2.7252533769123399E-2</v>
      </c>
    </row>
    <row r="44" spans="1:28" x14ac:dyDescent="0.25">
      <c r="B44">
        <v>3</v>
      </c>
      <c r="C44" s="2">
        <v>1.3164844495413599</v>
      </c>
      <c r="D44" s="2">
        <v>1.3249666597592968</v>
      </c>
      <c r="E44" s="2">
        <v>1.3244434512326066</v>
      </c>
      <c r="G44" s="2">
        <f t="shared" si="12"/>
        <v>-8.4822102179369363E-3</v>
      </c>
      <c r="H44" s="2">
        <f t="shared" si="13"/>
        <v>-7.9590016912467476E-3</v>
      </c>
      <c r="J44" s="2"/>
      <c r="L44">
        <v>3</v>
      </c>
      <c r="M44" s="2">
        <v>1.4322582496298333</v>
      </c>
      <c r="N44" s="2">
        <v>1.52467239307707</v>
      </c>
      <c r="O44" s="2">
        <v>1.5103879914780949</v>
      </c>
      <c r="Q44" s="2">
        <f t="shared" si="14"/>
        <v>-9.2414143447236752E-2</v>
      </c>
      <c r="R44" s="2">
        <f t="shared" si="15"/>
        <v>-7.8129741848261602E-2</v>
      </c>
      <c r="V44">
        <v>3</v>
      </c>
      <c r="W44" s="2">
        <v>1.4962062680930601</v>
      </c>
      <c r="X44" s="2">
        <v>1.5482698879235599</v>
      </c>
      <c r="Y44" s="2">
        <v>1.5959422895279101</v>
      </c>
      <c r="AA44" s="2">
        <f t="shared" si="16"/>
        <v>-5.2063619830499785E-2</v>
      </c>
      <c r="AB44" s="2">
        <f t="shared" si="17"/>
        <v>-9.9736021434849942E-2</v>
      </c>
    </row>
    <row r="45" spans="1:28" x14ac:dyDescent="0.25">
      <c r="B45">
        <v>4</v>
      </c>
      <c r="C45" s="2">
        <v>1.30473686579361</v>
      </c>
      <c r="D45" s="2">
        <v>1.3228616191505933</v>
      </c>
      <c r="E45" s="2">
        <v>1.3235613592986233</v>
      </c>
      <c r="G45" s="2">
        <f t="shared" si="12"/>
        <v>-1.812475335698327E-2</v>
      </c>
      <c r="H45" s="2">
        <f t="shared" si="13"/>
        <v>-1.8824493505013251E-2</v>
      </c>
      <c r="J45" s="2"/>
      <c r="L45">
        <v>4</v>
      </c>
      <c r="M45" s="2">
        <v>1.3766198862391468</v>
      </c>
      <c r="N45" s="2">
        <v>1.5164045102963899</v>
      </c>
      <c r="O45" s="2">
        <v>1.49302519608835</v>
      </c>
      <c r="Q45" s="2">
        <f t="shared" si="14"/>
        <v>-0.13978462405724312</v>
      </c>
      <c r="R45" s="2">
        <f t="shared" si="15"/>
        <v>-0.11640530984920328</v>
      </c>
      <c r="V45">
        <v>4</v>
      </c>
      <c r="W45" s="2">
        <v>1.4012629506812333</v>
      </c>
      <c r="X45" s="2">
        <v>1.4904365392488998</v>
      </c>
      <c r="Y45" s="2">
        <v>1.4567579102437966</v>
      </c>
      <c r="AA45" s="2">
        <f t="shared" si="16"/>
        <v>-8.9173588567666551E-2</v>
      </c>
      <c r="AB45" s="2">
        <f t="shared" si="17"/>
        <v>-5.549495956256334E-2</v>
      </c>
    </row>
    <row r="46" spans="1:28" x14ac:dyDescent="0.25">
      <c r="B46">
        <v>5</v>
      </c>
      <c r="C46" s="2">
        <v>1.2624244431520599</v>
      </c>
      <c r="D46" s="2">
        <v>1.2776805758001435</v>
      </c>
      <c r="E46" s="2">
        <v>1.3230968730568666</v>
      </c>
      <c r="G46" s="2">
        <f t="shared" si="12"/>
        <v>-1.5256132648083565E-2</v>
      </c>
      <c r="H46" s="2">
        <f t="shared" si="13"/>
        <v>-6.0672429904806702E-2</v>
      </c>
      <c r="J46" s="2"/>
      <c r="L46">
        <v>5</v>
      </c>
      <c r="M46" s="2">
        <v>1.3339081533824431</v>
      </c>
      <c r="N46" s="2">
        <v>1.4120714170488335</v>
      </c>
      <c r="O46" s="2">
        <v>1.3828506920807799</v>
      </c>
      <c r="Q46" s="2">
        <f t="shared" si="14"/>
        <v>-7.8163263666390481E-2</v>
      </c>
      <c r="R46" s="2">
        <f t="shared" si="15"/>
        <v>-4.8942538698336868E-2</v>
      </c>
      <c r="V46">
        <v>5</v>
      </c>
      <c r="W46" s="2">
        <v>1.4714352708230567</v>
      </c>
      <c r="X46" s="2">
        <v>1.4124271375537465</v>
      </c>
      <c r="Y46" s="2">
        <v>1.3888445147235433</v>
      </c>
      <c r="AA46" s="2">
        <f t="shared" si="16"/>
        <v>5.9008133269310203E-2</v>
      </c>
      <c r="AB46" s="2">
        <f t="shared" si="17"/>
        <v>8.2590756099513385E-2</v>
      </c>
    </row>
    <row r="47" spans="1:28" x14ac:dyDescent="0.25">
      <c r="B47">
        <v>6</v>
      </c>
      <c r="C47" s="2">
        <v>1.1566892198397298</v>
      </c>
      <c r="D47" s="2">
        <v>1.1911843949986967</v>
      </c>
      <c r="E47" s="2">
        <v>1.1829468779355266</v>
      </c>
      <c r="G47" s="2">
        <f t="shared" si="12"/>
        <v>-3.4495175158966829E-2</v>
      </c>
      <c r="H47" s="2">
        <f t="shared" si="13"/>
        <v>-2.6257658095796721E-2</v>
      </c>
      <c r="J47" s="2"/>
      <c r="L47">
        <v>6</v>
      </c>
      <c r="M47" s="2">
        <v>1.3685329945498699</v>
      </c>
      <c r="N47" s="2">
        <v>1.3831043973575132</v>
      </c>
      <c r="O47" s="2">
        <v>1.3232842347198335</v>
      </c>
      <c r="Q47" s="2">
        <f t="shared" si="14"/>
        <v>-1.4571402807643352E-2</v>
      </c>
      <c r="R47" s="2">
        <f t="shared" si="15"/>
        <v>4.52487598300364E-2</v>
      </c>
      <c r="V47">
        <v>6</v>
      </c>
      <c r="W47" s="2">
        <v>1.3567188945835431</v>
      </c>
      <c r="X47" s="2">
        <v>1.3668909502694033</v>
      </c>
      <c r="Y47" s="2">
        <v>1.3537831601369865</v>
      </c>
      <c r="AA47" s="2">
        <f t="shared" si="16"/>
        <v>-1.0172055685860215E-2</v>
      </c>
      <c r="AB47" s="2">
        <f t="shared" si="17"/>
        <v>2.9357344465565927E-3</v>
      </c>
    </row>
    <row r="48" spans="1:28" x14ac:dyDescent="0.25">
      <c r="B48">
        <v>7</v>
      </c>
      <c r="C48" s="2">
        <v>1.2726814022063901</v>
      </c>
      <c r="D48" s="2">
        <v>1.3032939741954599</v>
      </c>
      <c r="E48" s="2">
        <v>1.3023840944148166</v>
      </c>
      <c r="G48" s="2">
        <f t="shared" si="12"/>
        <v>-3.0612571989069748E-2</v>
      </c>
      <c r="H48" s="2">
        <f t="shared" si="13"/>
        <v>-2.9702692208426473E-2</v>
      </c>
      <c r="J48" s="2"/>
      <c r="L48">
        <v>7</v>
      </c>
      <c r="M48" s="2">
        <v>1.4053042149698767</v>
      </c>
      <c r="N48" s="2">
        <v>1.4770464253173199</v>
      </c>
      <c r="O48" s="2">
        <v>1.4982382034063901</v>
      </c>
      <c r="Q48" s="2">
        <f t="shared" si="14"/>
        <v>-7.1742210347443214E-2</v>
      </c>
      <c r="R48" s="2">
        <f t="shared" si="15"/>
        <v>-9.2933988436513459E-2</v>
      </c>
      <c r="V48">
        <v>7</v>
      </c>
      <c r="W48" s="2">
        <v>1.5370454236669799</v>
      </c>
      <c r="X48" s="2">
        <v>1.3401788822086</v>
      </c>
      <c r="Y48" s="2">
        <v>1.4078172926660333</v>
      </c>
      <c r="AA48" s="2">
        <f t="shared" si="16"/>
        <v>0.1968665414583799</v>
      </c>
      <c r="AB48" s="2">
        <f t="shared" si="17"/>
        <v>0.12922813100094666</v>
      </c>
    </row>
    <row r="49" spans="1:28" x14ac:dyDescent="0.25">
      <c r="B49">
        <v>8</v>
      </c>
      <c r="C49" s="2">
        <v>1.2073374524512166</v>
      </c>
      <c r="D49" s="2">
        <v>1.1970897706466002</v>
      </c>
      <c r="E49" s="2">
        <v>1.1497601100694468</v>
      </c>
      <c r="G49" s="2">
        <f t="shared" si="12"/>
        <v>1.0247681804616438E-2</v>
      </c>
      <c r="H49" s="2">
        <f t="shared" si="13"/>
        <v>5.7577342381769814E-2</v>
      </c>
      <c r="J49" s="2"/>
      <c r="L49">
        <v>8</v>
      </c>
      <c r="M49" s="2">
        <v>1.3142377495294233</v>
      </c>
      <c r="N49" s="2">
        <v>1.4032973642697169</v>
      </c>
      <c r="O49" s="2">
        <v>1.3300898708511568</v>
      </c>
      <c r="Q49" s="2">
        <f t="shared" si="14"/>
        <v>-8.9059614740293558E-2</v>
      </c>
      <c r="R49" s="2">
        <f t="shared" si="15"/>
        <v>-1.5852121321733526E-2</v>
      </c>
      <c r="V49">
        <v>8</v>
      </c>
      <c r="W49" s="2">
        <v>1.4226155915310568</v>
      </c>
      <c r="X49" s="2">
        <v>1.3823075083159566</v>
      </c>
      <c r="Y49" s="2">
        <v>1.4201132963664165</v>
      </c>
      <c r="AA49" s="2">
        <f t="shared" si="16"/>
        <v>4.0308083215100154E-2</v>
      </c>
      <c r="AB49" s="2">
        <f t="shared" si="17"/>
        <v>2.5022951646402891E-3</v>
      </c>
    </row>
    <row r="50" spans="1:28" x14ac:dyDescent="0.25">
      <c r="B50">
        <v>9</v>
      </c>
      <c r="C50" s="2">
        <v>1.24834626260297</v>
      </c>
      <c r="D50" s="2">
        <v>1.2272219116389067</v>
      </c>
      <c r="E50" s="2">
        <v>1.2525243458962665</v>
      </c>
      <c r="G50" s="2">
        <f t="shared" si="12"/>
        <v>2.1124350964063288E-2</v>
      </c>
      <c r="H50" s="2">
        <f t="shared" si="13"/>
        <v>-4.1780832932964973E-3</v>
      </c>
      <c r="J50" s="2"/>
      <c r="L50">
        <v>9</v>
      </c>
      <c r="M50" s="2">
        <v>1.4212127510370067</v>
      </c>
      <c r="N50" s="2">
        <v>1.4261637486207466</v>
      </c>
      <c r="O50" s="2">
        <v>1.42230356212774</v>
      </c>
      <c r="Q50" s="2">
        <f t="shared" si="14"/>
        <v>-4.9509975837398468E-3</v>
      </c>
      <c r="R50" s="2">
        <f t="shared" si="15"/>
        <v>-1.0908110907332791E-3</v>
      </c>
      <c r="V50">
        <v>9</v>
      </c>
      <c r="W50" s="2">
        <v>1.4708003389955102</v>
      </c>
      <c r="X50" s="2">
        <v>1.5160522758192101</v>
      </c>
      <c r="Y50" s="2">
        <v>1.4494832295985198</v>
      </c>
      <c r="AA50" s="2">
        <f t="shared" si="16"/>
        <v>-4.5251936823699879E-2</v>
      </c>
      <c r="AB50" s="2">
        <f t="shared" si="17"/>
        <v>2.1317109396990386E-2</v>
      </c>
    </row>
    <row r="51" spans="1:28" x14ac:dyDescent="0.25">
      <c r="B51">
        <v>10</v>
      </c>
      <c r="C51" s="2">
        <v>1.2933561405755201</v>
      </c>
      <c r="D51" s="2">
        <v>1.3114351766814867</v>
      </c>
      <c r="E51" s="2">
        <v>1.3288003909122466</v>
      </c>
      <c r="G51" s="2">
        <f t="shared" si="12"/>
        <v>-1.8079036105966617E-2</v>
      </c>
      <c r="H51" s="2">
        <f t="shared" si="13"/>
        <v>-3.5444250336726491E-2</v>
      </c>
      <c r="J51" s="2"/>
      <c r="L51">
        <v>10</v>
      </c>
      <c r="M51" s="2">
        <v>1.3237069301314701</v>
      </c>
      <c r="N51" s="2">
        <v>1.3432785718906233</v>
      </c>
      <c r="O51" s="2">
        <v>1.3636296723399333</v>
      </c>
      <c r="Q51" s="2">
        <f t="shared" si="14"/>
        <v>-1.9571641759153158E-2</v>
      </c>
      <c r="R51" s="2">
        <f t="shared" si="15"/>
        <v>-3.9922742208463147E-2</v>
      </c>
      <c r="V51">
        <v>10</v>
      </c>
      <c r="W51" s="2">
        <v>1.3181985833886969</v>
      </c>
      <c r="X51" s="2">
        <v>1.3411444300556934</v>
      </c>
      <c r="Y51" s="2">
        <v>1.3636908227928732</v>
      </c>
      <c r="AA51" s="2">
        <f t="shared" si="16"/>
        <v>-2.2945846666996506E-2</v>
      </c>
      <c r="AB51" s="2">
        <f t="shared" si="17"/>
        <v>-4.5492239404176349E-2</v>
      </c>
    </row>
    <row r="52" spans="1:28" x14ac:dyDescent="0.25">
      <c r="B52">
        <v>11</v>
      </c>
      <c r="C52" s="2">
        <v>1.1882500201629933</v>
      </c>
      <c r="D52" s="2">
        <v>1.2453736928305099</v>
      </c>
      <c r="E52" s="2">
        <v>1.2125039791595233</v>
      </c>
      <c r="G52" s="2">
        <f t="shared" si="12"/>
        <v>-5.7123672667516612E-2</v>
      </c>
      <c r="H52" s="2">
        <f t="shared" si="13"/>
        <v>-2.4253958996530045E-2</v>
      </c>
      <c r="J52" s="2"/>
      <c r="L52">
        <v>11</v>
      </c>
      <c r="M52" s="2">
        <v>1.3549670220325432</v>
      </c>
      <c r="N52" s="2">
        <v>1.3499099189974502</v>
      </c>
      <c r="O52" s="2">
        <v>1.4167040826885497</v>
      </c>
      <c r="Q52" s="2">
        <f t="shared" si="14"/>
        <v>5.0571030350929913E-3</v>
      </c>
      <c r="R52" s="2">
        <f t="shared" si="15"/>
        <v>-6.1737060656006593E-2</v>
      </c>
      <c r="V52">
        <v>11</v>
      </c>
      <c r="W52" s="2">
        <v>1.4387137948328801</v>
      </c>
      <c r="X52" s="2">
        <v>1.4014675537698034</v>
      </c>
      <c r="Y52" s="2">
        <v>1.4024128399527331</v>
      </c>
      <c r="AA52" s="2">
        <f t="shared" si="16"/>
        <v>3.7246241063076724E-2</v>
      </c>
      <c r="AB52" s="2">
        <f t="shared" si="17"/>
        <v>3.6300954880146952E-2</v>
      </c>
    </row>
    <row r="53" spans="1:28" x14ac:dyDescent="0.25">
      <c r="B53">
        <v>12</v>
      </c>
      <c r="C53" s="2">
        <v>1.2263646987592234</v>
      </c>
      <c r="D53" s="2">
        <v>1.183771966082545</v>
      </c>
      <c r="E53" s="2">
        <v>1.2954346411416264</v>
      </c>
      <c r="G53" s="2">
        <f t="shared" si="12"/>
        <v>4.2592732676678402E-2</v>
      </c>
      <c r="H53" s="2">
        <f t="shared" si="13"/>
        <v>-6.9069942382403049E-2</v>
      </c>
      <c r="J53" s="2"/>
      <c r="L53">
        <v>12</v>
      </c>
      <c r="M53" s="2">
        <v>1.2707356875120199</v>
      </c>
      <c r="N53" s="2">
        <v>1.3366391377172133</v>
      </c>
      <c r="O53" s="2">
        <v>1.3778734659772967</v>
      </c>
      <c r="Q53" s="2">
        <f t="shared" si="14"/>
        <v>-6.5903450205193392E-2</v>
      </c>
      <c r="R53" s="2">
        <f t="shared" si="15"/>
        <v>-0.10713777846527672</v>
      </c>
      <c r="V53">
        <v>12</v>
      </c>
      <c r="W53" s="2">
        <v>1.3435497859921333</v>
      </c>
      <c r="X53" s="2">
        <v>1.3735596811444235</v>
      </c>
      <c r="Y53" s="2">
        <v>1.5515694522418348</v>
      </c>
      <c r="AA53" s="2">
        <f t="shared" si="16"/>
        <v>-3.0009895152290245E-2</v>
      </c>
      <c r="AB53" s="2">
        <f t="shared" si="17"/>
        <v>-0.20801966624970158</v>
      </c>
    </row>
    <row r="55" spans="1:28" x14ac:dyDescent="0.25">
      <c r="A55" s="2"/>
      <c r="B55" s="2"/>
      <c r="C55" s="2">
        <f>AVERAGE(C42:C53)</f>
        <v>1.2385100034314218</v>
      </c>
      <c r="D55" s="2">
        <f>AVERAGE(D42:D53)</f>
        <v>1.2462407959449773</v>
      </c>
      <c r="E55" s="2">
        <f>AVERAGE(E42:E53)</f>
        <v>1.2678057198674377</v>
      </c>
      <c r="F55" s="2"/>
      <c r="G55" s="2">
        <f>AVERAGE(G42:G53)</f>
        <v>-7.7307925135551474E-3</v>
      </c>
      <c r="H55" s="2">
        <f>AVERAGE(H42:H53)</f>
        <v>-2.9295716436015768E-2</v>
      </c>
      <c r="I55" s="2"/>
      <c r="J55" s="2"/>
      <c r="K55" s="2"/>
      <c r="L55" s="2"/>
      <c r="M55" s="2">
        <f>AVERAGE(M42:M53)</f>
        <v>1.3587363031648279</v>
      </c>
      <c r="N55" s="2">
        <f>AVERAGE(N42:N53)</f>
        <v>1.4021823306312344</v>
      </c>
      <c r="O55" s="2">
        <f>AVERAGE(O42:O53)</f>
        <v>1.4030785647765394</v>
      </c>
      <c r="P55" s="2"/>
      <c r="Q55" s="2">
        <f>AVERAGE(Q42:Q53)</f>
        <v>-4.3446027466406689E-2</v>
      </c>
      <c r="R55" s="2">
        <f>AVERAGE(R42:R53)</f>
        <v>-4.4342261611711564E-2</v>
      </c>
      <c r="S55" s="2"/>
      <c r="T55" s="2"/>
      <c r="U55" s="2"/>
      <c r="V55" s="2"/>
      <c r="W55" s="2">
        <f>AVERAGE(W42:W53)</f>
        <v>1.4117767121476381</v>
      </c>
      <c r="X55" s="2">
        <f>AVERAGE(X42:X53)</f>
        <v>1.4132445378868053</v>
      </c>
      <c r="Y55" s="2">
        <f>AVERAGE(Y42:Y53)</f>
        <v>1.4403188476438797</v>
      </c>
      <c r="Z55" s="2"/>
      <c r="AA55" s="2">
        <f>AVERAGE(AA42:AA53)</f>
        <v>-1.4678257391671685E-3</v>
      </c>
      <c r="AB55" s="2">
        <f>AVERAGE(AB42:AB53)</f>
        <v>-2.8542135496241405E-2</v>
      </c>
    </row>
    <row r="56" spans="1:28" x14ac:dyDescent="0.25">
      <c r="A56" s="2"/>
      <c r="B56" s="2"/>
      <c r="C56" s="2">
        <f>STDEV(C42:C53)</f>
        <v>5.3533743457875406E-2</v>
      </c>
      <c r="D56" s="2">
        <f>STDEV(D42:D53)</f>
        <v>5.9926645214110133E-2</v>
      </c>
      <c r="E56" s="2">
        <f>STDEV(E42:E53)</f>
        <v>6.0337912733851841E-2</v>
      </c>
      <c r="F56" s="2"/>
      <c r="G56" s="2">
        <f>STDEV(G42:G53)</f>
        <v>3.6852219227157694E-2</v>
      </c>
      <c r="H56" s="2">
        <f>STDEV(H42:H53)</f>
        <v>4.0340341351231983E-2</v>
      </c>
      <c r="I56" s="2"/>
      <c r="J56" s="2"/>
      <c r="K56" s="2"/>
      <c r="L56" s="2"/>
      <c r="M56" s="2">
        <f>STDEV(M42:M53)</f>
        <v>5.0633195516625838E-2</v>
      </c>
      <c r="N56" s="2">
        <f>STDEV(N42:N53)</f>
        <v>7.4196752079422543E-2</v>
      </c>
      <c r="O56" s="2">
        <f>STDEV(O42:O53)</f>
        <v>6.5637750528899613E-2</v>
      </c>
      <c r="P56" s="2"/>
      <c r="Q56" s="2">
        <f>STDEV(Q42:Q53)</f>
        <v>5.2972163785149573E-2</v>
      </c>
      <c r="R56" s="2">
        <f>STDEV(R42:R53)</f>
        <v>5.3895448208355803E-2</v>
      </c>
      <c r="S56" s="2"/>
      <c r="T56" s="2"/>
      <c r="U56" s="2"/>
      <c r="V56" s="2"/>
      <c r="W56" s="2">
        <f>STDEV(W42:W53)</f>
        <v>7.7463125643343969E-2</v>
      </c>
      <c r="X56" s="2">
        <f>STDEV(X42:X53)</f>
        <v>6.8337560128764491E-2</v>
      </c>
      <c r="Y56" s="2">
        <f>STDEV(Y42:Y53)</f>
        <v>7.1430265345280824E-2</v>
      </c>
      <c r="Z56" s="2"/>
      <c r="AA56" s="2">
        <f>STDEV(AA42:AA53)</f>
        <v>7.9859638962089946E-2</v>
      </c>
      <c r="AB56" s="2">
        <f>STDEV(AB42:AB53)</f>
        <v>9.887748881364225E-2</v>
      </c>
    </row>
    <row r="60" spans="1:28" x14ac:dyDescent="0.25">
      <c r="A60" t="s">
        <v>18</v>
      </c>
      <c r="G60" t="s">
        <v>14</v>
      </c>
      <c r="H60" t="s">
        <v>15</v>
      </c>
      <c r="K60" t="s">
        <v>18</v>
      </c>
      <c r="Q60" t="s">
        <v>14</v>
      </c>
      <c r="R60" t="s">
        <v>15</v>
      </c>
      <c r="U60" t="s">
        <v>18</v>
      </c>
      <c r="AA60" t="s">
        <v>14</v>
      </c>
      <c r="AB60" t="s">
        <v>15</v>
      </c>
    </row>
    <row r="61" spans="1:28" x14ac:dyDescent="0.25">
      <c r="A61" s="1">
        <v>0.25</v>
      </c>
      <c r="B61" t="s">
        <v>1</v>
      </c>
      <c r="C61" t="s">
        <v>35</v>
      </c>
      <c r="D61" t="s">
        <v>36</v>
      </c>
      <c r="E61" t="s">
        <v>37</v>
      </c>
      <c r="G61" t="s">
        <v>13</v>
      </c>
      <c r="H61" t="s">
        <v>13</v>
      </c>
      <c r="J61" s="1"/>
      <c r="K61" s="1">
        <v>0.5</v>
      </c>
      <c r="L61" t="s">
        <v>1</v>
      </c>
      <c r="M61" t="s">
        <v>35</v>
      </c>
      <c r="N61" t="s">
        <v>36</v>
      </c>
      <c r="O61" t="s">
        <v>37</v>
      </c>
      <c r="Q61" t="s">
        <v>13</v>
      </c>
      <c r="R61" t="s">
        <v>13</v>
      </c>
      <c r="U61" s="1">
        <v>0.75</v>
      </c>
      <c r="V61" t="s">
        <v>1</v>
      </c>
      <c r="W61" t="s">
        <v>35</v>
      </c>
      <c r="X61" t="s">
        <v>36</v>
      </c>
      <c r="Y61" t="s">
        <v>37</v>
      </c>
      <c r="AA61" t="s">
        <v>13</v>
      </c>
      <c r="AB61" t="s">
        <v>13</v>
      </c>
    </row>
    <row r="62" spans="1:28" x14ac:dyDescent="0.25">
      <c r="B62">
        <v>1</v>
      </c>
      <c r="C62" s="2">
        <v>1.16041307206738</v>
      </c>
      <c r="D62" s="2">
        <v>1.1422380691870666</v>
      </c>
      <c r="E62" s="2">
        <v>1.26446836556105</v>
      </c>
      <c r="G62" s="2">
        <f>C62-D62</f>
        <v>1.8175002880313373E-2</v>
      </c>
      <c r="H62" s="2">
        <f>C62-E62</f>
        <v>-0.10405529349367004</v>
      </c>
      <c r="J62" s="2"/>
      <c r="L62">
        <v>1</v>
      </c>
      <c r="M62" s="2">
        <v>1.2371243210766267</v>
      </c>
      <c r="N62" s="2">
        <v>1.2373616210190601</v>
      </c>
      <c r="O62" s="2">
        <v>1.3016258467131967</v>
      </c>
      <c r="Q62" s="2">
        <f>M62-N62</f>
        <v>-2.3729994243337771E-4</v>
      </c>
      <c r="R62" s="2">
        <f>M62-O62</f>
        <v>-6.4501525636569967E-2</v>
      </c>
      <c r="V62">
        <v>1</v>
      </c>
      <c r="W62" s="2">
        <v>1.2967446371796834</v>
      </c>
      <c r="X62" s="2">
        <v>1.3599689564703035</v>
      </c>
      <c r="Y62" s="2">
        <v>1.4041523651433667</v>
      </c>
      <c r="AA62" s="2">
        <f>W62-X62</f>
        <v>-6.3224319290620112E-2</v>
      </c>
      <c r="AB62" s="2">
        <f>W62-Y62</f>
        <v>-0.10740772796368336</v>
      </c>
    </row>
    <row r="63" spans="1:28" x14ac:dyDescent="0.25">
      <c r="B63">
        <v>2</v>
      </c>
      <c r="C63" s="2">
        <v>1.1884919963927034</v>
      </c>
      <c r="D63" s="2">
        <v>1.2564434228335966</v>
      </c>
      <c r="E63" s="2">
        <v>1.2507804652235801</v>
      </c>
      <c r="G63" s="2">
        <f t="shared" ref="G63:G73" si="18">C63-D63</f>
        <v>-6.7951426440893137E-2</v>
      </c>
      <c r="H63" s="2">
        <f t="shared" ref="H63:H73" si="19">C63-E63</f>
        <v>-6.2288468830876687E-2</v>
      </c>
      <c r="J63" s="2"/>
      <c r="L63">
        <v>2</v>
      </c>
      <c r="M63" s="2">
        <v>1.3415634021074165</v>
      </c>
      <c r="N63" s="2">
        <v>1.3144647824078268</v>
      </c>
      <c r="O63" s="2">
        <v>1.3168975077440834</v>
      </c>
      <c r="Q63" s="2">
        <f t="shared" ref="Q63:Q73" si="20">M63-N63</f>
        <v>2.709861969958971E-2</v>
      </c>
      <c r="R63" s="2">
        <f t="shared" ref="R63:R73" si="21">M63-O63</f>
        <v>2.4665894363333107E-2</v>
      </c>
      <c r="V63">
        <v>2</v>
      </c>
      <c r="W63" s="2">
        <v>1.3481474512618199</v>
      </c>
      <c r="X63" s="2">
        <v>1.3705388035165067</v>
      </c>
      <c r="Y63" s="2">
        <v>1.3694557932270399</v>
      </c>
      <c r="AA63" s="2">
        <f t="shared" ref="AA63:AA73" si="22">W63-X63</f>
        <v>-2.2391352254686803E-2</v>
      </c>
      <c r="AB63" s="2">
        <f t="shared" ref="AB63:AB73" si="23">W63-Y63</f>
        <v>-2.1308341965220023E-2</v>
      </c>
    </row>
    <row r="64" spans="1:28" x14ac:dyDescent="0.25">
      <c r="B64">
        <v>3</v>
      </c>
      <c r="C64" s="2">
        <v>1.3375574899211333</v>
      </c>
      <c r="D64" s="2">
        <v>1.4072893084292499</v>
      </c>
      <c r="E64" s="2">
        <v>1.3352148630506768</v>
      </c>
      <c r="G64" s="2">
        <f t="shared" si="18"/>
        <v>-6.9731818508116605E-2</v>
      </c>
      <c r="H64" s="2">
        <f t="shared" si="19"/>
        <v>2.342626870456499E-3</v>
      </c>
      <c r="J64" s="2"/>
      <c r="L64">
        <v>3</v>
      </c>
      <c r="M64" s="2">
        <v>1.37592941219763</v>
      </c>
      <c r="N64" s="2">
        <v>1.4524921196617449</v>
      </c>
      <c r="O64" s="2">
        <v>1.4917341969280802</v>
      </c>
      <c r="Q64" s="2">
        <f t="shared" si="20"/>
        <v>-7.6562707464114865E-2</v>
      </c>
      <c r="R64" s="2">
        <f t="shared" si="21"/>
        <v>-0.11580478473045019</v>
      </c>
      <c r="V64">
        <v>3</v>
      </c>
      <c r="W64" s="2">
        <v>1.5098673297348499</v>
      </c>
      <c r="X64" s="2">
        <v>1.5363561720138568</v>
      </c>
      <c r="Y64" s="2">
        <v>1.5307074488127768</v>
      </c>
      <c r="AA64" s="2">
        <f t="shared" si="22"/>
        <v>-2.648884227900683E-2</v>
      </c>
      <c r="AB64" s="2">
        <f t="shared" si="23"/>
        <v>-2.0840119077926822E-2</v>
      </c>
    </row>
    <row r="65" spans="1:28" x14ac:dyDescent="0.25">
      <c r="B65">
        <v>4</v>
      </c>
      <c r="C65" s="2">
        <v>1.4149131014969567</v>
      </c>
      <c r="D65" s="2">
        <v>1.3508515135268067</v>
      </c>
      <c r="E65">
        <v>1.28</v>
      </c>
      <c r="G65" s="2">
        <f t="shared" si="18"/>
        <v>6.4061587970150047E-2</v>
      </c>
      <c r="H65" s="2">
        <f t="shared" si="19"/>
        <v>0.13491310149695668</v>
      </c>
      <c r="J65" s="2"/>
      <c r="L65">
        <v>4</v>
      </c>
      <c r="M65" s="2">
        <v>1.5204825682739866</v>
      </c>
      <c r="N65" s="2">
        <v>1.5020726739013999</v>
      </c>
      <c r="O65" s="2">
        <v>1.5162992835322633</v>
      </c>
      <c r="Q65" s="2">
        <f t="shared" si="20"/>
        <v>1.8409894372586777E-2</v>
      </c>
      <c r="R65" s="2">
        <f t="shared" si="21"/>
        <v>4.1832847417233587E-3</v>
      </c>
      <c r="V65">
        <v>4</v>
      </c>
      <c r="W65" s="2">
        <v>1.4766435103547668</v>
      </c>
      <c r="X65" s="2">
        <v>1.5580083327782166</v>
      </c>
      <c r="Y65" s="2">
        <v>1.5476458894182867</v>
      </c>
      <c r="AA65" s="2">
        <f t="shared" si="22"/>
        <v>-8.1364822423449779E-2</v>
      </c>
      <c r="AB65" s="2">
        <f t="shared" si="23"/>
        <v>-7.1002379063519916E-2</v>
      </c>
    </row>
    <row r="66" spans="1:28" x14ac:dyDescent="0.25">
      <c r="B66">
        <v>5</v>
      </c>
      <c r="C66" s="2">
        <v>1.2859089525557832</v>
      </c>
      <c r="D66" s="2">
        <v>1.3976076231797669</v>
      </c>
      <c r="E66" s="2">
        <v>1.3571837577631667</v>
      </c>
      <c r="G66" s="2">
        <f t="shared" si="18"/>
        <v>-0.11169867062398375</v>
      </c>
      <c r="H66" s="2">
        <f t="shared" si="19"/>
        <v>-7.1274805207383496E-2</v>
      </c>
      <c r="J66" s="2"/>
      <c r="L66">
        <v>5</v>
      </c>
      <c r="M66" s="2">
        <v>1.3696588857583667</v>
      </c>
      <c r="N66" s="2">
        <v>1.4289808774194401</v>
      </c>
      <c r="O66" s="2">
        <v>1.4336437526037267</v>
      </c>
      <c r="Q66" s="2">
        <f t="shared" si="20"/>
        <v>-5.9321991661073437E-2</v>
      </c>
      <c r="R66" s="2">
        <f t="shared" si="21"/>
        <v>-6.3984866845359978E-2</v>
      </c>
      <c r="V66">
        <v>5</v>
      </c>
      <c r="W66" s="2">
        <v>1.4247421291001234</v>
      </c>
      <c r="X66" s="2">
        <v>1.40609416687781</v>
      </c>
      <c r="Y66" s="2">
        <v>1.4335851955738665</v>
      </c>
      <c r="AA66" s="2">
        <f t="shared" si="22"/>
        <v>1.8647962222313463E-2</v>
      </c>
      <c r="AB66" s="2">
        <f t="shared" si="23"/>
        <v>-8.8430664737431108E-3</v>
      </c>
    </row>
    <row r="67" spans="1:28" x14ac:dyDescent="0.25">
      <c r="B67">
        <v>6</v>
      </c>
      <c r="C67" s="2">
        <v>1.3132510233041634</v>
      </c>
      <c r="D67" s="2">
        <v>1.20113330834966</v>
      </c>
      <c r="E67" s="2">
        <v>1.2392862920432701</v>
      </c>
      <c r="G67" s="2">
        <f t="shared" si="18"/>
        <v>0.1121177149545034</v>
      </c>
      <c r="H67" s="2">
        <f t="shared" si="19"/>
        <v>7.3964731260893313E-2</v>
      </c>
      <c r="J67" s="2"/>
      <c r="L67">
        <v>6</v>
      </c>
      <c r="M67" s="2">
        <v>1.3351175904748933</v>
      </c>
      <c r="N67" s="2">
        <v>1.4191193791475032</v>
      </c>
      <c r="O67" s="2">
        <v>1.3336292406754868</v>
      </c>
      <c r="Q67" s="2">
        <f t="shared" si="20"/>
        <v>-8.4001788672609878E-2</v>
      </c>
      <c r="R67" s="2">
        <f t="shared" si="21"/>
        <v>1.4883497994064854E-3</v>
      </c>
      <c r="V67">
        <v>6</v>
      </c>
      <c r="W67" s="2">
        <v>1.266531185913685</v>
      </c>
      <c r="X67" s="2">
        <v>1.3859898895381901</v>
      </c>
      <c r="Y67" s="2">
        <v>1.338448068862665</v>
      </c>
      <c r="AA67" s="2">
        <f t="shared" si="22"/>
        <v>-0.11945870362450517</v>
      </c>
      <c r="AB67" s="2">
        <f t="shared" si="23"/>
        <v>-7.1916882948980021E-2</v>
      </c>
    </row>
    <row r="68" spans="1:28" x14ac:dyDescent="0.25">
      <c r="B68">
        <v>7</v>
      </c>
      <c r="C68" s="2">
        <v>1.2593535674748233</v>
      </c>
      <c r="D68" s="2">
        <v>1.3008718562925632</v>
      </c>
      <c r="E68" s="2">
        <v>1.4377760436203499</v>
      </c>
      <c r="G68" s="2">
        <f t="shared" si="18"/>
        <v>-4.151828881773989E-2</v>
      </c>
      <c r="H68" s="2">
        <f t="shared" si="19"/>
        <v>-0.17842247614552664</v>
      </c>
      <c r="J68" s="2"/>
      <c r="L68">
        <v>7</v>
      </c>
      <c r="M68" s="2">
        <v>1.4957160978559301</v>
      </c>
      <c r="N68" s="2">
        <v>1.5154373835934598</v>
      </c>
      <c r="O68" s="2">
        <v>1.4488593550826001</v>
      </c>
      <c r="Q68" s="2">
        <f t="shared" si="20"/>
        <v>-1.9721285737529737E-2</v>
      </c>
      <c r="R68" s="2">
        <f t="shared" si="21"/>
        <v>4.6856742773329962E-2</v>
      </c>
      <c r="V68">
        <v>7</v>
      </c>
      <c r="W68" s="2">
        <v>1.50653262031285</v>
      </c>
      <c r="X68" s="2">
        <v>1.5589738276035465</v>
      </c>
      <c r="Y68" s="2">
        <v>1.4124564547689935</v>
      </c>
      <c r="AA68" s="2">
        <f t="shared" si="22"/>
        <v>-5.2441207290696568E-2</v>
      </c>
      <c r="AB68" s="2">
        <f t="shared" si="23"/>
        <v>9.4076165543856449E-2</v>
      </c>
    </row>
    <row r="69" spans="1:28" x14ac:dyDescent="0.25">
      <c r="B69">
        <v>8</v>
      </c>
      <c r="C69" s="2">
        <v>1.1047593145642767</v>
      </c>
      <c r="D69" s="2">
        <v>1.1859945718632467</v>
      </c>
      <c r="E69" s="2">
        <v>1.1766441360860636</v>
      </c>
      <c r="G69" s="2">
        <f t="shared" si="18"/>
        <v>-8.1235257298970076E-2</v>
      </c>
      <c r="H69" s="2">
        <f t="shared" si="19"/>
        <v>-7.1884821521786879E-2</v>
      </c>
      <c r="J69" s="2"/>
      <c r="L69">
        <v>8</v>
      </c>
      <c r="M69" s="2">
        <v>1.3435835418541469</v>
      </c>
      <c r="N69" s="2">
        <v>1.3569202608757831</v>
      </c>
      <c r="O69" s="2">
        <v>1.3388113514379631</v>
      </c>
      <c r="Q69" s="2">
        <f t="shared" si="20"/>
        <v>-1.3336719021636245E-2</v>
      </c>
      <c r="R69" s="2">
        <f t="shared" si="21"/>
        <v>4.7721904161837081E-3</v>
      </c>
      <c r="V69">
        <v>8</v>
      </c>
      <c r="W69" s="2">
        <v>1.40002512973547</v>
      </c>
      <c r="X69" s="2">
        <v>1.4368474045495701</v>
      </c>
      <c r="Y69" s="2">
        <v>1.4481411850653398</v>
      </c>
      <c r="AA69" s="2">
        <f t="shared" si="22"/>
        <v>-3.6822274814100053E-2</v>
      </c>
      <c r="AB69" s="2">
        <f t="shared" si="23"/>
        <v>-4.8116055329869845E-2</v>
      </c>
    </row>
    <row r="70" spans="1:28" x14ac:dyDescent="0.25">
      <c r="B70">
        <v>9</v>
      </c>
      <c r="C70" s="2">
        <v>1.3136530692790902</v>
      </c>
      <c r="D70" s="2">
        <v>1.3218791615397434</v>
      </c>
      <c r="E70" s="2">
        <v>1.3625990082327333</v>
      </c>
      <c r="G70" s="2">
        <f t="shared" si="18"/>
        <v>-8.2260922606531839E-3</v>
      </c>
      <c r="H70" s="2">
        <f t="shared" si="19"/>
        <v>-4.8945938953643076E-2</v>
      </c>
      <c r="J70" s="2"/>
      <c r="L70">
        <v>9</v>
      </c>
      <c r="M70" s="2">
        <v>1.402903466386163</v>
      </c>
      <c r="N70" s="2">
        <v>1.45169793148399</v>
      </c>
      <c r="O70" s="2">
        <v>1.4802229666130466</v>
      </c>
      <c r="Q70" s="2">
        <f t="shared" si="20"/>
        <v>-4.8794465097826922E-2</v>
      </c>
      <c r="R70" s="2">
        <f t="shared" si="21"/>
        <v>-7.7319500226883608E-2</v>
      </c>
      <c r="V70">
        <v>9</v>
      </c>
      <c r="W70" s="2">
        <v>1.4401381769478201</v>
      </c>
      <c r="X70" s="2">
        <v>1.4785458425558768</v>
      </c>
      <c r="Y70" s="2">
        <v>1.4716461374212901</v>
      </c>
      <c r="AA70" s="2">
        <f t="shared" si="22"/>
        <v>-3.8407665608056751E-2</v>
      </c>
      <c r="AB70" s="2">
        <f t="shared" si="23"/>
        <v>-3.1507960473470042E-2</v>
      </c>
    </row>
    <row r="71" spans="1:28" x14ac:dyDescent="0.25">
      <c r="B71">
        <v>10</v>
      </c>
      <c r="C71" s="2">
        <v>1.2846063253689735</v>
      </c>
      <c r="D71" s="2">
        <v>1.3505876964140067</v>
      </c>
      <c r="E71" s="2">
        <v>1.36302162057122</v>
      </c>
      <c r="G71" s="2">
        <f t="shared" si="18"/>
        <v>-6.598137104503321E-2</v>
      </c>
      <c r="H71" s="2">
        <f t="shared" si="19"/>
        <v>-7.8415295202246549E-2</v>
      </c>
      <c r="J71" s="2"/>
      <c r="L71">
        <v>10</v>
      </c>
      <c r="M71" s="2">
        <v>1.4123599001676832</v>
      </c>
      <c r="N71" s="2">
        <v>1.4260363711923769</v>
      </c>
      <c r="O71" s="2">
        <v>1.4610239538119931</v>
      </c>
      <c r="Q71" s="2">
        <f t="shared" si="20"/>
        <v>-1.3676471024693715E-2</v>
      </c>
      <c r="R71" s="2">
        <f t="shared" si="21"/>
        <v>-4.8664053644309924E-2</v>
      </c>
      <c r="V71">
        <v>10</v>
      </c>
      <c r="W71" s="2">
        <v>1.459328687692375</v>
      </c>
      <c r="X71" s="2">
        <v>1.4499404617959701</v>
      </c>
      <c r="Y71" s="2">
        <v>1.4489482223035832</v>
      </c>
      <c r="AA71" s="2">
        <f t="shared" si="22"/>
        <v>9.388225896404867E-3</v>
      </c>
      <c r="AB71" s="2">
        <f t="shared" si="23"/>
        <v>1.0380465388791782E-2</v>
      </c>
    </row>
    <row r="72" spans="1:28" x14ac:dyDescent="0.25">
      <c r="B72">
        <v>11</v>
      </c>
      <c r="C72" s="2">
        <v>1.2214989450174232</v>
      </c>
      <c r="D72" s="2">
        <v>1.2283668305972666</v>
      </c>
      <c r="E72" s="2">
        <v>1.2452306414073735</v>
      </c>
      <c r="G72" s="2">
        <f t="shared" si="18"/>
        <v>-6.8678855798434135E-3</v>
      </c>
      <c r="H72" s="2">
        <f t="shared" si="19"/>
        <v>-2.3731696389950319E-2</v>
      </c>
      <c r="J72" s="2"/>
      <c r="L72">
        <v>11</v>
      </c>
      <c r="M72" s="2">
        <v>1.3898272004404033</v>
      </c>
      <c r="N72" s="2">
        <v>1.4970381438770968</v>
      </c>
      <c r="O72" s="2">
        <v>1.4347806758657766</v>
      </c>
      <c r="Q72" s="2">
        <f t="shared" si="20"/>
        <v>-0.10721094343669346</v>
      </c>
      <c r="R72" s="2">
        <f t="shared" si="21"/>
        <v>-4.4953475425373313E-2</v>
      </c>
      <c r="V72">
        <v>11</v>
      </c>
      <c r="W72" s="2">
        <v>1.3879704115137299</v>
      </c>
      <c r="X72" s="2">
        <v>1.3000315883574833</v>
      </c>
      <c r="Y72" s="2">
        <v>1.3301369153125167</v>
      </c>
      <c r="AA72" s="2">
        <f t="shared" si="22"/>
        <v>8.7938823156246571E-2</v>
      </c>
      <c r="AB72" s="2">
        <f t="shared" si="23"/>
        <v>5.7833496201213253E-2</v>
      </c>
    </row>
    <row r="73" spans="1:28" x14ac:dyDescent="0.25">
      <c r="B73">
        <v>12</v>
      </c>
      <c r="C73" s="2">
        <v>1.1977204379445798</v>
      </c>
      <c r="D73" s="2">
        <v>1.2501788977731065</v>
      </c>
      <c r="E73" s="2">
        <v>1.2527125200451499</v>
      </c>
      <c r="G73" s="2">
        <f t="shared" si="18"/>
        <v>-5.2458459828526705E-2</v>
      </c>
      <c r="H73" s="2">
        <f t="shared" si="19"/>
        <v>-5.499208210057005E-2</v>
      </c>
      <c r="J73" s="2"/>
      <c r="L73">
        <v>12</v>
      </c>
      <c r="M73" s="2">
        <v>1.2992765334859868</v>
      </c>
      <c r="N73" s="2">
        <v>1.31182543665028</v>
      </c>
      <c r="O73" s="2">
        <v>1.3604888524748435</v>
      </c>
      <c r="Q73" s="2">
        <f t="shared" si="20"/>
        <v>-1.2548903164293135E-2</v>
      </c>
      <c r="R73" s="2">
        <f t="shared" si="21"/>
        <v>-6.1212318988856707E-2</v>
      </c>
      <c r="V73">
        <v>12</v>
      </c>
      <c r="W73" s="2">
        <v>1.3722010739830399</v>
      </c>
      <c r="X73" s="2">
        <v>1.3948197038924033</v>
      </c>
      <c r="Y73" s="2">
        <v>1.3019753293550334</v>
      </c>
      <c r="AA73" s="2">
        <f t="shared" si="22"/>
        <v>-2.2618629909363364E-2</v>
      </c>
      <c r="AB73" s="2">
        <f t="shared" si="23"/>
        <v>7.022574462800657E-2</v>
      </c>
    </row>
    <row r="75" spans="1:28" x14ac:dyDescent="0.25">
      <c r="A75" s="2"/>
      <c r="B75" s="2"/>
      <c r="C75" s="2">
        <f>AVERAGE(C62:C73)</f>
        <v>1.2568439412822738</v>
      </c>
      <c r="D75" s="2">
        <f>AVERAGE(D62:D73)</f>
        <v>1.2827868549988402</v>
      </c>
      <c r="E75" s="2">
        <f>AVERAGE(E62:E73)</f>
        <v>1.2970764761337195</v>
      </c>
      <c r="F75" s="2"/>
      <c r="G75" s="2">
        <f>AVERAGE(G62:G73)</f>
        <v>-2.5942913716566096E-2</v>
      </c>
      <c r="H75" s="2">
        <f>AVERAGE(H62:H73)</f>
        <v>-4.0232534851445602E-2</v>
      </c>
      <c r="I75" s="2"/>
      <c r="J75" s="2"/>
      <c r="K75" s="2"/>
      <c r="L75" s="2"/>
      <c r="M75" s="2">
        <f>AVERAGE(M62:M73)</f>
        <v>1.3769619100066028</v>
      </c>
      <c r="N75" s="2">
        <f>AVERAGE(N62:N73)</f>
        <v>1.4094539151024967</v>
      </c>
      <c r="O75" s="2">
        <f>AVERAGE(O62:O73)</f>
        <v>1.4098347486235887</v>
      </c>
      <c r="P75" s="2"/>
      <c r="Q75" s="2">
        <f>AVERAGE(Q62:Q73)</f>
        <v>-3.2492005095894026E-2</v>
      </c>
      <c r="R75" s="2">
        <f>AVERAGE(R62:R73)</f>
        <v>-3.2872838616985589E-2</v>
      </c>
      <c r="S75" s="2"/>
      <c r="T75" s="2"/>
      <c r="U75" s="2"/>
      <c r="V75" s="2"/>
      <c r="W75" s="2">
        <f>AVERAGE(W62:W73)</f>
        <v>1.4074060286441845</v>
      </c>
      <c r="X75" s="2">
        <f>AVERAGE(X62:X73)</f>
        <v>1.4363429291624776</v>
      </c>
      <c r="Y75" s="2">
        <f>AVERAGE(Y62:Y73)</f>
        <v>1.4197749171053966</v>
      </c>
      <c r="Z75" s="2"/>
      <c r="AA75" s="2">
        <f>AVERAGE(AA62:AA73)</f>
        <v>-2.8936900518293378E-2</v>
      </c>
      <c r="AB75" s="2">
        <f>AVERAGE(AB62:AB73)</f>
        <v>-1.2368888461212091E-2</v>
      </c>
    </row>
    <row r="76" spans="1:28" x14ac:dyDescent="0.25">
      <c r="A76" s="2"/>
      <c r="B76" s="2"/>
      <c r="C76" s="2">
        <f>STDEV(C62:C73)</f>
        <v>8.6011039114191307E-2</v>
      </c>
      <c r="D76" s="2">
        <f>STDEV(D62:D73)</f>
        <v>8.5428598869128486E-2</v>
      </c>
      <c r="E76" s="2">
        <f>STDEV(E62:E73)</f>
        <v>7.3548855168954472E-2</v>
      </c>
      <c r="F76" s="2"/>
      <c r="G76" s="2">
        <f>STDEV(G62:G73)</f>
        <v>6.4967055654696737E-2</v>
      </c>
      <c r="H76" s="2">
        <f>STDEV(H62:H73)</f>
        <v>8.1561678188759507E-2</v>
      </c>
      <c r="I76" s="2"/>
      <c r="J76" s="2"/>
      <c r="K76" s="2"/>
      <c r="L76" s="2"/>
      <c r="M76" s="2">
        <f>STDEV(M62:M73)</f>
        <v>7.778427064114074E-2</v>
      </c>
      <c r="N76" s="2">
        <f>STDEV(N62:N73)</f>
        <v>8.6758845565995765E-2</v>
      </c>
      <c r="O76" s="2">
        <f>STDEV(O62:O73)</f>
        <v>7.5052864824685747E-2</v>
      </c>
      <c r="P76" s="2"/>
      <c r="Q76" s="2">
        <f>STDEV(Q62:Q73)</f>
        <v>4.2241946592795579E-2</v>
      </c>
      <c r="R76" s="2">
        <f>STDEV(R62:R73)</f>
        <v>4.8296888346320635E-2</v>
      </c>
      <c r="S76" s="2"/>
      <c r="T76" s="2"/>
      <c r="U76" s="2"/>
      <c r="V76" s="2"/>
      <c r="W76" s="2">
        <f>STDEV(W62:W73)</f>
        <v>7.7729705499895635E-2</v>
      </c>
      <c r="X76" s="2">
        <f>STDEV(X62:X73)</f>
        <v>8.2972192750440599E-2</v>
      </c>
      <c r="Y76" s="2">
        <f>STDEV(Y62:Y73)</f>
        <v>7.6603759145348713E-2</v>
      </c>
      <c r="Z76" s="2"/>
      <c r="AA76" s="2">
        <f>STDEV(AA62:AA73)</f>
        <v>5.2487803666339101E-2</v>
      </c>
      <c r="AB76" s="2">
        <f>STDEV(AB62:AB73)</f>
        <v>6.1365397968603796E-2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ABF24-A30D-4CA5-B257-0550AB82163F}">
  <dimension ref="A1:AM76"/>
  <sheetViews>
    <sheetView workbookViewId="0"/>
  </sheetViews>
  <sheetFormatPr defaultRowHeight="15" x14ac:dyDescent="0.25"/>
  <sheetData>
    <row r="1" spans="1:39" x14ac:dyDescent="0.25">
      <c r="A1" t="s">
        <v>0</v>
      </c>
      <c r="H1" t="s">
        <v>14</v>
      </c>
      <c r="I1" t="s">
        <v>15</v>
      </c>
      <c r="L1" t="s">
        <v>0</v>
      </c>
      <c r="R1" t="s">
        <v>14</v>
      </c>
      <c r="S1" t="s">
        <v>15</v>
      </c>
      <c r="V1" t="s">
        <v>0</v>
      </c>
      <c r="AB1" t="s">
        <v>14</v>
      </c>
      <c r="AC1" t="s">
        <v>15</v>
      </c>
    </row>
    <row r="2" spans="1:39" x14ac:dyDescent="0.25">
      <c r="A2" s="1">
        <v>0.25</v>
      </c>
      <c r="B2" t="s">
        <v>1</v>
      </c>
      <c r="C2" t="s">
        <v>19</v>
      </c>
      <c r="D2" t="s">
        <v>20</v>
      </c>
      <c r="E2" t="s">
        <v>21</v>
      </c>
      <c r="F2" t="s">
        <v>22</v>
      </c>
      <c r="H2" t="s">
        <v>13</v>
      </c>
      <c r="I2" t="s">
        <v>13</v>
      </c>
      <c r="K2" s="1"/>
      <c r="L2" s="1">
        <v>0.5</v>
      </c>
      <c r="M2" t="s">
        <v>1</v>
      </c>
      <c r="N2" t="s">
        <v>20</v>
      </c>
      <c r="O2" t="s">
        <v>21</v>
      </c>
      <c r="P2" t="s">
        <v>22</v>
      </c>
      <c r="R2" t="s">
        <v>13</v>
      </c>
      <c r="S2" t="s">
        <v>13</v>
      </c>
      <c r="V2" s="1">
        <v>0.75</v>
      </c>
      <c r="W2" t="s">
        <v>1</v>
      </c>
      <c r="X2" t="s">
        <v>20</v>
      </c>
      <c r="Y2" t="s">
        <v>21</v>
      </c>
      <c r="Z2" t="s">
        <v>22</v>
      </c>
      <c r="AB2" t="s">
        <v>13</v>
      </c>
      <c r="AC2" t="s">
        <v>13</v>
      </c>
      <c r="AF2" s="1"/>
    </row>
    <row r="3" spans="1:39" x14ac:dyDescent="0.25">
      <c r="B3">
        <v>1</v>
      </c>
      <c r="C3">
        <v>262.8</v>
      </c>
      <c r="D3" s="3">
        <f>(58.2/262.8)*100</f>
        <v>22.146118721461185</v>
      </c>
      <c r="E3" s="3">
        <f>(65.9/262.8)*100</f>
        <v>25.076103500761036</v>
      </c>
      <c r="F3" s="3">
        <f>(65/262.8)*100</f>
        <v>24.733637747336378</v>
      </c>
      <c r="H3" s="2">
        <f>((D3/E3)*100)-100</f>
        <v>-11.68437025796662</v>
      </c>
      <c r="I3" s="2">
        <f>((D3/F3)*100)-100</f>
        <v>-10.461538461538467</v>
      </c>
      <c r="K3" s="2"/>
      <c r="M3">
        <v>1</v>
      </c>
      <c r="N3" s="3">
        <f>(123.7/262.8)*100</f>
        <v>47.070015220700149</v>
      </c>
      <c r="O3" s="3">
        <f>(150.5/262.8)*100</f>
        <v>57.267884322678839</v>
      </c>
      <c r="P3" s="3">
        <f>(155.8/262.8)*100</f>
        <v>59.284627092846279</v>
      </c>
      <c r="R3" s="2">
        <f>((N3/O3)*100)-100</f>
        <v>-17.807308970099669</v>
      </c>
      <c r="S3" s="2">
        <f>((N3/P3)*100)-100</f>
        <v>-20.6033376123235</v>
      </c>
      <c r="W3">
        <v>1</v>
      </c>
      <c r="X3" s="3">
        <f>(227.7/262.8)*100</f>
        <v>86.643835616438352</v>
      </c>
      <c r="Y3" s="3">
        <f>(269.5/262.8)*100</f>
        <v>102.54946727549468</v>
      </c>
      <c r="Z3" s="3">
        <f>(262.1/262.8)*100</f>
        <v>99.733637747336374</v>
      </c>
      <c r="AB3" s="2">
        <f>((X3/Y3)*100)-100</f>
        <v>-15.510204081632665</v>
      </c>
      <c r="AC3" s="2">
        <f>((X3/Z3)*100)-100</f>
        <v>-13.12476154139641</v>
      </c>
      <c r="AL3" s="2"/>
      <c r="AM3" s="2"/>
    </row>
    <row r="4" spans="1:39" x14ac:dyDescent="0.25">
      <c r="B4">
        <v>2</v>
      </c>
      <c r="C4">
        <v>305.3</v>
      </c>
      <c r="D4" s="3">
        <f>(99.1/305.3)*100</f>
        <v>32.459875532263347</v>
      </c>
      <c r="E4" s="3">
        <f>(94.5/305.3)*100</f>
        <v>30.953160825417619</v>
      </c>
      <c r="F4" s="3">
        <f>(100/305.3)*100</f>
        <v>32.754667540124466</v>
      </c>
      <c r="H4" s="2">
        <f t="shared" ref="H4:H12" si="0">((D4/E4)*100)-100</f>
        <v>4.8677248677248599</v>
      </c>
      <c r="I4" s="2">
        <f t="shared" ref="I4:I12" si="1">((D4/F4)*100)-100</f>
        <v>-0.90000000000000568</v>
      </c>
      <c r="K4" s="2"/>
      <c r="M4">
        <v>2</v>
      </c>
      <c r="N4" s="3">
        <f>(206.5/305.3)*100</f>
        <v>67.638388470357029</v>
      </c>
      <c r="O4" s="3">
        <f>(210.1/305.3)*100</f>
        <v>68.817556501801505</v>
      </c>
      <c r="P4" s="3">
        <f>(205.1/305.3)*100</f>
        <v>67.179823124795277</v>
      </c>
      <c r="R4" s="2">
        <f t="shared" ref="R4:R12" si="2">((N4/O4)*100)-100</f>
        <v>-1.7134697762969893</v>
      </c>
      <c r="S4" s="2">
        <f t="shared" ref="S4:S12" si="3">((N4/P4)*100)-100</f>
        <v>0.68259385665530203</v>
      </c>
      <c r="W4">
        <v>2</v>
      </c>
      <c r="X4" s="3">
        <f>(313.7/305.3)*100</f>
        <v>102.75139207337045</v>
      </c>
      <c r="Y4" s="3">
        <f>(319.9/305.3)*100</f>
        <v>104.78218146085815</v>
      </c>
      <c r="Z4" s="3">
        <f>(296.4/305.3)*100</f>
        <v>97.084834588928913</v>
      </c>
      <c r="AB4" s="2">
        <f t="shared" ref="AB4:AB12" si="4">((X4/Y4)*100)-100</f>
        <v>-1.9381056580181166</v>
      </c>
      <c r="AC4" s="2">
        <f t="shared" ref="AC4:AC12" si="5">((X4/Z4)*100)-100</f>
        <v>5.8367071524966434</v>
      </c>
      <c r="AL4" s="2"/>
      <c r="AM4" s="2"/>
    </row>
    <row r="5" spans="1:39" x14ac:dyDescent="0.25">
      <c r="B5">
        <v>3</v>
      </c>
      <c r="C5">
        <v>97.8</v>
      </c>
      <c r="D5" s="3">
        <f>(15.8/97.8)*100</f>
        <v>16.155419222903884</v>
      </c>
      <c r="E5" s="3">
        <f>(16/97.8)*100</f>
        <v>16.359918200408998</v>
      </c>
      <c r="F5" s="3">
        <f>(16.6/97.8)*100</f>
        <v>16.973415132924337</v>
      </c>
      <c r="H5" s="2">
        <f t="shared" si="0"/>
        <v>-1.25</v>
      </c>
      <c r="I5" s="2">
        <f t="shared" si="1"/>
        <v>-4.8192771084337522</v>
      </c>
      <c r="K5" s="2"/>
      <c r="M5">
        <v>3</v>
      </c>
      <c r="N5" s="3">
        <f>(45.9/97.8)*100</f>
        <v>46.932515337423311</v>
      </c>
      <c r="O5" s="3">
        <f>(42.4/97.8)*100</f>
        <v>43.353783231083845</v>
      </c>
      <c r="P5" s="3">
        <f>(47.7/97.8)*100</f>
        <v>48.773006134969336</v>
      </c>
      <c r="R5" s="2">
        <f t="shared" si="2"/>
        <v>8.2547169811320771</v>
      </c>
      <c r="S5" s="2">
        <f t="shared" si="3"/>
        <v>-3.7735849056603996</v>
      </c>
      <c r="W5">
        <v>3</v>
      </c>
      <c r="X5" s="3">
        <f>(81.7/97.8)*100</f>
        <v>83.537832310838454</v>
      </c>
      <c r="Y5" s="3">
        <f>(70.1/97.8)*100</f>
        <v>71.676891615541919</v>
      </c>
      <c r="Z5" s="3">
        <f>(83.1/97.8)*100</f>
        <v>84.969325153374228</v>
      </c>
      <c r="AB5" s="2">
        <f t="shared" si="4"/>
        <v>16.547788873038542</v>
      </c>
      <c r="AC5" s="2">
        <f t="shared" si="5"/>
        <v>-1.6847172081828887</v>
      </c>
      <c r="AL5" s="2"/>
      <c r="AM5" s="2"/>
    </row>
    <row r="6" spans="1:39" x14ac:dyDescent="0.25">
      <c r="B6">
        <v>4</v>
      </c>
      <c r="C6">
        <v>241.1</v>
      </c>
      <c r="D6" s="3">
        <f>(48.4/241.1)*100</f>
        <v>20.074657818332643</v>
      </c>
      <c r="E6" s="3">
        <f>(49.1/241.1)*100</f>
        <v>20.364993778515139</v>
      </c>
      <c r="F6" s="3">
        <f>(47/241.1)*100</f>
        <v>19.493985897967651</v>
      </c>
      <c r="H6" s="2">
        <f t="shared" si="0"/>
        <v>-1.4256619144602922</v>
      </c>
      <c r="I6" s="2">
        <f t="shared" si="1"/>
        <v>2.9787234042553052</v>
      </c>
      <c r="K6" s="2"/>
      <c r="M6">
        <v>4</v>
      </c>
      <c r="N6" s="3">
        <f>(99.5/241.4)*100</f>
        <v>41.217895608947799</v>
      </c>
      <c r="O6" s="3">
        <f>(107.3/241.1)*100</f>
        <v>44.504355039402739</v>
      </c>
      <c r="P6" s="3">
        <f>(103.6/241.1)*100</f>
        <v>42.969722107009538</v>
      </c>
      <c r="R6" s="2">
        <f t="shared" si="2"/>
        <v>-7.3845793912645519</v>
      </c>
      <c r="S6" s="2">
        <f t="shared" si="3"/>
        <v>-4.0768857980954181</v>
      </c>
      <c r="W6">
        <v>4</v>
      </c>
      <c r="X6" s="3">
        <f>(204.3/241.1)*100</f>
        <v>84.736623807548739</v>
      </c>
      <c r="Y6" s="3">
        <f>(206.1/241.1)*100</f>
        <v>85.483201990875159</v>
      </c>
      <c r="Z6" s="3">
        <f>(186.9/241.1)*100</f>
        <v>77.519701368726686</v>
      </c>
      <c r="AB6" s="2">
        <f t="shared" si="4"/>
        <v>-0.87336244541485542</v>
      </c>
      <c r="AC6" s="2">
        <f t="shared" si="5"/>
        <v>9.3097913322632166</v>
      </c>
      <c r="AL6" s="2"/>
      <c r="AM6" s="2"/>
    </row>
    <row r="7" spans="1:39" x14ac:dyDescent="0.25">
      <c r="B7">
        <v>5</v>
      </c>
      <c r="C7">
        <v>530.20000000000005</v>
      </c>
      <c r="D7" s="3">
        <f>(126.7/530.2)*100</f>
        <v>23.896642776310824</v>
      </c>
      <c r="E7" s="3">
        <f>(132.6/530.2)*100</f>
        <v>25.009430403621273</v>
      </c>
      <c r="F7" s="3">
        <f>(133/530.2)*100</f>
        <v>25.084873632591471</v>
      </c>
      <c r="H7" s="2">
        <f t="shared" si="0"/>
        <v>-4.4494720965309256</v>
      </c>
      <c r="I7" s="2">
        <f t="shared" si="1"/>
        <v>-4.7368421052631504</v>
      </c>
      <c r="K7" s="2"/>
      <c r="M7">
        <v>5</v>
      </c>
      <c r="N7" s="3">
        <f>(254.7/530.2)*100</f>
        <v>48.038476046774797</v>
      </c>
      <c r="O7" s="3">
        <f>(272.5/530.2)*100</f>
        <v>51.395699735948696</v>
      </c>
      <c r="P7" s="3">
        <f>(303.9/530.2)*100</f>
        <v>57.317993210109385</v>
      </c>
      <c r="R7" s="2">
        <f t="shared" si="2"/>
        <v>-6.532110091743121</v>
      </c>
      <c r="S7" s="2">
        <f t="shared" si="3"/>
        <v>-16.189536031589341</v>
      </c>
      <c r="W7">
        <v>5</v>
      </c>
      <c r="X7" s="3">
        <f>(421.5/530.2)*100</f>
        <v>79.498302527348159</v>
      </c>
      <c r="Y7" s="3">
        <f>(414.2/530.2)*100</f>
        <v>78.121463598642009</v>
      </c>
      <c r="Z7" s="3">
        <f>(437.2/530.2)*100</f>
        <v>82.459449264428514</v>
      </c>
      <c r="AB7" s="2">
        <f t="shared" si="4"/>
        <v>1.7624336069531665</v>
      </c>
      <c r="AC7" s="2">
        <f t="shared" si="5"/>
        <v>-3.5910338517840898</v>
      </c>
      <c r="AL7" s="2"/>
      <c r="AM7" s="2"/>
    </row>
    <row r="8" spans="1:39" x14ac:dyDescent="0.25">
      <c r="B8">
        <v>6</v>
      </c>
      <c r="C8">
        <v>516.1</v>
      </c>
      <c r="D8" s="3">
        <f>(108.3/516.1)*100</f>
        <v>20.984305367176901</v>
      </c>
      <c r="E8" s="3">
        <f>(107.7/516.1)*100</f>
        <v>20.868048827746559</v>
      </c>
      <c r="F8" s="3">
        <f>(116.1/516.1)*100</f>
        <v>22.495640379771359</v>
      </c>
      <c r="H8" s="2">
        <f t="shared" si="0"/>
        <v>0.55710306406683685</v>
      </c>
      <c r="I8" s="2">
        <f t="shared" si="1"/>
        <v>-6.7183462532299671</v>
      </c>
      <c r="K8" s="2"/>
      <c r="M8">
        <v>6</v>
      </c>
      <c r="N8" s="3">
        <f>(178.9/516.1)*100</f>
        <v>34.663824840147257</v>
      </c>
      <c r="O8" s="3">
        <f>(176.7/516.1)*100</f>
        <v>34.237550862235999</v>
      </c>
      <c r="P8" s="3">
        <f>(194.8/516.1)*100</f>
        <v>37.744623135051349</v>
      </c>
      <c r="R8" s="2">
        <f t="shared" si="2"/>
        <v>1.2450481041313139</v>
      </c>
      <c r="S8" s="2">
        <f t="shared" si="3"/>
        <v>-8.1622176591375819</v>
      </c>
      <c r="W8">
        <v>6</v>
      </c>
      <c r="X8" s="3">
        <f>(291.8/516.1)*100</f>
        <v>56.539430342956784</v>
      </c>
      <c r="Y8" s="3">
        <v>57.2</v>
      </c>
      <c r="Z8" s="3">
        <v>57.7</v>
      </c>
      <c r="AB8" s="2">
        <f t="shared" si="4"/>
        <v>-1.1548420577678655</v>
      </c>
      <c r="AC8" s="2">
        <f t="shared" si="5"/>
        <v>-2.0113858874232591</v>
      </c>
      <c r="AL8" s="2"/>
      <c r="AM8" s="2"/>
    </row>
    <row r="9" spans="1:39" x14ac:dyDescent="0.25">
      <c r="B9">
        <v>7</v>
      </c>
      <c r="D9" s="3"/>
      <c r="E9" s="3"/>
      <c r="F9" s="3"/>
      <c r="H9" s="2"/>
      <c r="I9" s="2"/>
      <c r="K9" s="2"/>
      <c r="M9">
        <v>7</v>
      </c>
      <c r="N9" s="3"/>
      <c r="O9" s="3"/>
      <c r="P9" s="3"/>
      <c r="R9" s="2"/>
      <c r="S9" s="2"/>
      <c r="W9">
        <v>7</v>
      </c>
      <c r="X9" s="3"/>
      <c r="Y9" s="3"/>
      <c r="Z9" s="3"/>
      <c r="AB9" s="2"/>
      <c r="AC9" s="2"/>
      <c r="AH9" s="3"/>
      <c r="AL9" s="2"/>
      <c r="AM9" s="2"/>
    </row>
    <row r="10" spans="1:39" x14ac:dyDescent="0.25">
      <c r="B10">
        <v>8</v>
      </c>
      <c r="C10">
        <v>523.6</v>
      </c>
      <c r="D10" s="3">
        <v>23.6</v>
      </c>
      <c r="E10" s="3">
        <v>23.4</v>
      </c>
      <c r="F10" s="3">
        <v>23.8</v>
      </c>
      <c r="H10" s="2">
        <f t="shared" si="0"/>
        <v>0.85470085470088009</v>
      </c>
      <c r="I10" s="2">
        <f t="shared" si="1"/>
        <v>-0.84033613445377853</v>
      </c>
      <c r="K10" s="2"/>
      <c r="M10">
        <v>8</v>
      </c>
      <c r="N10" s="3">
        <v>49.7</v>
      </c>
      <c r="O10" s="3">
        <v>50.1</v>
      </c>
      <c r="P10" s="3">
        <v>50.4</v>
      </c>
      <c r="R10" s="2">
        <f t="shared" si="2"/>
        <v>-0.79840319361277068</v>
      </c>
      <c r="S10" s="2">
        <f t="shared" si="3"/>
        <v>-1.3888888888888857</v>
      </c>
      <c r="W10">
        <v>8</v>
      </c>
      <c r="X10" s="3">
        <v>76.900000000000006</v>
      </c>
      <c r="Y10" s="3">
        <v>77.2</v>
      </c>
      <c r="Z10" s="3">
        <v>76.900000000000006</v>
      </c>
      <c r="AB10" s="2">
        <f t="shared" si="4"/>
        <v>-0.38860103626943499</v>
      </c>
      <c r="AC10" s="2">
        <f t="shared" si="5"/>
        <v>0</v>
      </c>
      <c r="AL10" s="2"/>
      <c r="AM10" s="2"/>
    </row>
    <row r="11" spans="1:39" x14ac:dyDescent="0.25">
      <c r="B11">
        <v>9</v>
      </c>
      <c r="D11" s="3"/>
      <c r="E11" s="3"/>
      <c r="F11" s="3"/>
      <c r="H11" s="2"/>
      <c r="I11" s="2"/>
      <c r="K11" s="2"/>
      <c r="M11">
        <v>9</v>
      </c>
      <c r="N11" s="3"/>
      <c r="O11" s="3"/>
      <c r="P11" s="3"/>
      <c r="R11" s="2"/>
      <c r="S11" s="2"/>
      <c r="X11" s="3"/>
      <c r="Y11" s="3"/>
      <c r="Z11" s="3"/>
      <c r="AB11" s="2"/>
      <c r="AC11" s="2"/>
      <c r="AL11" s="2"/>
      <c r="AM11" s="2"/>
    </row>
    <row r="12" spans="1:39" x14ac:dyDescent="0.25">
      <c r="B12">
        <v>10</v>
      </c>
      <c r="C12">
        <v>414.1</v>
      </c>
      <c r="D12" s="3">
        <f>(113/414.1)*100</f>
        <v>27.288094663124845</v>
      </c>
      <c r="E12" s="3">
        <f>(108/414.1)*100</f>
        <v>26.080656846172424</v>
      </c>
      <c r="F12" s="3">
        <f>(110.4/414.1)*100</f>
        <v>26.660226998309589</v>
      </c>
      <c r="H12" s="2">
        <f t="shared" si="0"/>
        <v>4.6296296296296049</v>
      </c>
      <c r="I12" s="2">
        <f t="shared" si="1"/>
        <v>2.3550724637680958</v>
      </c>
      <c r="K12" s="2"/>
      <c r="M12">
        <v>10</v>
      </c>
      <c r="N12" s="3">
        <f>(242.1/414.1)*100</f>
        <v>58.464139096836512</v>
      </c>
      <c r="O12" s="3">
        <f>(222.9/414.1)*100</f>
        <v>53.827577879739195</v>
      </c>
      <c r="P12" s="3">
        <f>(223.4/414.1)*100</f>
        <v>53.948321661434441</v>
      </c>
      <c r="R12" s="2">
        <f t="shared" si="2"/>
        <v>8.61372812920591</v>
      </c>
      <c r="S12" s="2">
        <f t="shared" si="3"/>
        <v>8.3706356311548831</v>
      </c>
      <c r="W12">
        <v>10</v>
      </c>
      <c r="X12" s="3">
        <f>(336.2/414.1)*100</f>
        <v>81.188118811881182</v>
      </c>
      <c r="Y12" s="3">
        <v>84.2</v>
      </c>
      <c r="Z12" s="3">
        <v>83.9</v>
      </c>
      <c r="AB12" s="2">
        <f t="shared" si="4"/>
        <v>-3.5770560428964586</v>
      </c>
      <c r="AC12" s="2">
        <f t="shared" si="5"/>
        <v>-3.2322779357792939</v>
      </c>
      <c r="AL12" s="2"/>
      <c r="AM12" s="2"/>
    </row>
    <row r="13" spans="1:39" x14ac:dyDescent="0.25">
      <c r="B13">
        <v>11</v>
      </c>
      <c r="C13">
        <v>643.1</v>
      </c>
      <c r="D13" s="3">
        <v>19.5</v>
      </c>
      <c r="E13" s="3">
        <v>18.8</v>
      </c>
      <c r="F13" s="3">
        <v>19.2</v>
      </c>
      <c r="H13" s="2">
        <f t="shared" ref="H13" si="6">((D13/E13)*100)-100</f>
        <v>3.7234042553191387</v>
      </c>
      <c r="I13" s="2">
        <f t="shared" ref="I13" si="7">((D13/F13)*100)-100</f>
        <v>1.5625</v>
      </c>
      <c r="K13" s="2"/>
      <c r="M13">
        <v>11</v>
      </c>
      <c r="N13" s="3">
        <v>41.7</v>
      </c>
      <c r="O13" s="3">
        <v>43.4</v>
      </c>
      <c r="P13" s="3">
        <v>44</v>
      </c>
      <c r="R13" s="2">
        <f t="shared" ref="R13" si="8">((N13/O13)*100)-100</f>
        <v>-3.9170506912442278</v>
      </c>
      <c r="S13" s="2">
        <f t="shared" ref="S13" si="9">((N13/P13)*100)-100</f>
        <v>-5.2272727272727195</v>
      </c>
      <c r="W13">
        <v>11</v>
      </c>
      <c r="X13" s="3">
        <v>77.8</v>
      </c>
      <c r="Y13" s="3">
        <v>84.6</v>
      </c>
      <c r="Z13" s="3">
        <v>88.8</v>
      </c>
      <c r="AB13" s="2">
        <f t="shared" ref="AB13" si="10">((X13/Y13)*100)-100</f>
        <v>-8.0378250591016496</v>
      </c>
      <c r="AC13" s="2">
        <f t="shared" ref="AC13" si="11">((X13/Z13)*100)-100</f>
        <v>-12.387387387387378</v>
      </c>
      <c r="AL13" s="2"/>
      <c r="AM13" s="2"/>
    </row>
    <row r="14" spans="1:39" x14ac:dyDescent="0.25">
      <c r="B14">
        <v>12</v>
      </c>
      <c r="D14" s="3"/>
      <c r="E14" s="3"/>
      <c r="F14" s="3"/>
      <c r="H14" s="2"/>
      <c r="I14" s="2"/>
      <c r="K14" s="2"/>
      <c r="M14">
        <v>12</v>
      </c>
      <c r="N14" s="3"/>
      <c r="O14" s="3"/>
      <c r="P14" s="3"/>
      <c r="R14" s="2"/>
      <c r="S14" s="2"/>
      <c r="W14">
        <v>12</v>
      </c>
      <c r="X14" s="3"/>
      <c r="Y14" s="3"/>
      <c r="Z14" s="3"/>
      <c r="AB14" s="2"/>
      <c r="AC14" s="2"/>
      <c r="AJ14" s="3"/>
      <c r="AL14" s="2"/>
      <c r="AM14" s="2"/>
    </row>
    <row r="15" spans="1:39" x14ac:dyDescent="0.25">
      <c r="D15" s="3"/>
      <c r="E15" s="3"/>
      <c r="F15" s="3"/>
      <c r="G15" s="3"/>
      <c r="N15" s="3"/>
      <c r="O15" s="3"/>
      <c r="P15" s="3"/>
      <c r="Q15" s="3"/>
      <c r="X15" s="3"/>
      <c r="Y15" s="3"/>
    </row>
    <row r="16" spans="1:39" x14ac:dyDescent="0.25">
      <c r="D16" s="3">
        <f>AVERAGE(D3:D14)</f>
        <v>22.900568233508181</v>
      </c>
      <c r="E16" s="3">
        <f>AVERAGE(E3:E14)</f>
        <v>22.990256931404783</v>
      </c>
      <c r="F16" s="3">
        <f>AVERAGE(F3:F14)</f>
        <v>23.466271925447248</v>
      </c>
      <c r="H16" s="3">
        <f>AVERAGE(H3:H14)</f>
        <v>-0.46410462194627972</v>
      </c>
      <c r="I16" s="3">
        <f>AVERAGE(I3:I14)</f>
        <v>-2.3977826883217466</v>
      </c>
      <c r="N16" s="3">
        <f>AVERAGE(N3:N14)</f>
        <v>48.380583846798537</v>
      </c>
      <c r="O16" s="3">
        <f>AVERAGE(O3:O14)</f>
        <v>49.656045285876758</v>
      </c>
      <c r="P16" s="3">
        <f>AVERAGE(P3:P14)</f>
        <v>51.290901829579504</v>
      </c>
      <c r="R16" s="3">
        <f>AVERAGE(R3:R14)</f>
        <v>-2.226603211088003</v>
      </c>
      <c r="S16" s="3">
        <f>AVERAGE(S3:S14)</f>
        <v>-5.5964993483508509</v>
      </c>
      <c r="X16" s="3">
        <f>AVERAGE(X3:X14)</f>
        <v>81.066170610042448</v>
      </c>
      <c r="Y16" s="3">
        <f>AVERAGE(Y3:Y14)</f>
        <v>82.868133993490218</v>
      </c>
      <c r="Z16" s="3">
        <f>AVERAGE(Z3:Z14)</f>
        <v>83.229660902532743</v>
      </c>
      <c r="AB16" s="3">
        <f>AVERAGE(AB3:AB14)</f>
        <v>-1.4633082112343709</v>
      </c>
      <c r="AC16" s="3">
        <f>AVERAGE(AC3:AC14)</f>
        <v>-2.3205628141326065</v>
      </c>
      <c r="AH16" s="3"/>
      <c r="AI16" s="3"/>
      <c r="AJ16" s="3"/>
      <c r="AL16" s="3"/>
      <c r="AM16" s="3"/>
    </row>
    <row r="17" spans="1:39" x14ac:dyDescent="0.25">
      <c r="D17" s="3">
        <f>STDEV(D3:D14)</f>
        <v>4.7618279065543963</v>
      </c>
      <c r="E17" s="3">
        <f>STDEV(E3:E14)</f>
        <v>4.3941656710719972</v>
      </c>
      <c r="F17" s="3">
        <f>STDEV(F3:F14)</f>
        <v>4.7155666612622857</v>
      </c>
      <c r="H17" s="3">
        <f>STDEV(H3:H14)</f>
        <v>5.2202923382622552</v>
      </c>
      <c r="I17" s="3">
        <f>STDEV(I3:I14)</f>
        <v>4.5672138998024803</v>
      </c>
      <c r="N17" s="3">
        <f>STDEV(N3:N14)</f>
        <v>9.7615143269163696</v>
      </c>
      <c r="O17" s="3">
        <f>STDEV(O3:O14)</f>
        <v>9.9301011795536294</v>
      </c>
      <c r="P17" s="3">
        <f>STDEV(P3:P14)</f>
        <v>9.170466365694935</v>
      </c>
      <c r="R17" s="3">
        <f>STDEV(R3:R14)</f>
        <v>8.1584648756075921</v>
      </c>
      <c r="S17" s="3">
        <f>STDEV(S3:S14)</f>
        <v>8.6745385958017902</v>
      </c>
      <c r="X17" s="3">
        <f>STDEV(X3:X14)</f>
        <v>12.005204251172998</v>
      </c>
      <c r="Y17" s="3">
        <f>STDEV(Y3:Y14)</f>
        <v>14.65412823741725</v>
      </c>
      <c r="Z17" s="3">
        <f>STDEV(Z3:Z14)</f>
        <v>12.368693394163529</v>
      </c>
      <c r="AB17" s="3">
        <f>STDEV(AB3:AB14)</f>
        <v>8.5266943274570348</v>
      </c>
      <c r="AC17" s="3">
        <f>STDEV(AC3:AC14)</f>
        <v>7.3161472178621239</v>
      </c>
      <c r="AH17" s="3"/>
      <c r="AI17" s="3"/>
      <c r="AJ17" s="3"/>
      <c r="AL17" s="3"/>
      <c r="AM17" s="3"/>
    </row>
    <row r="20" spans="1:39" x14ac:dyDescent="0.25">
      <c r="A20" t="s">
        <v>16</v>
      </c>
      <c r="H20" t="s">
        <v>14</v>
      </c>
      <c r="I20" t="s">
        <v>15</v>
      </c>
      <c r="L20" t="s">
        <v>16</v>
      </c>
      <c r="R20" t="s">
        <v>14</v>
      </c>
      <c r="S20" t="s">
        <v>15</v>
      </c>
      <c r="V20" t="s">
        <v>16</v>
      </c>
      <c r="AB20" t="s">
        <v>14</v>
      </c>
      <c r="AC20" t="s">
        <v>15</v>
      </c>
    </row>
    <row r="21" spans="1:39" x14ac:dyDescent="0.25">
      <c r="A21" s="1">
        <v>0.25</v>
      </c>
      <c r="B21" t="s">
        <v>1</v>
      </c>
      <c r="D21" t="s">
        <v>20</v>
      </c>
      <c r="E21" t="s">
        <v>21</v>
      </c>
      <c r="F21" t="s">
        <v>22</v>
      </c>
      <c r="H21" t="s">
        <v>13</v>
      </c>
      <c r="I21" t="s">
        <v>13</v>
      </c>
      <c r="K21" s="1"/>
      <c r="L21" s="1">
        <v>0.5</v>
      </c>
      <c r="M21" t="s">
        <v>1</v>
      </c>
      <c r="N21" t="s">
        <v>20</v>
      </c>
      <c r="O21" t="s">
        <v>21</v>
      </c>
      <c r="P21" t="s">
        <v>22</v>
      </c>
      <c r="R21" t="s">
        <v>13</v>
      </c>
      <c r="S21" t="s">
        <v>13</v>
      </c>
      <c r="V21" s="1">
        <v>0.75</v>
      </c>
      <c r="W21" t="s">
        <v>1</v>
      </c>
      <c r="X21" t="s">
        <v>20</v>
      </c>
      <c r="Y21" t="s">
        <v>21</v>
      </c>
      <c r="Z21" t="s">
        <v>22</v>
      </c>
      <c r="AB21" t="s">
        <v>13</v>
      </c>
      <c r="AC21" t="s">
        <v>13</v>
      </c>
    </row>
    <row r="22" spans="1:39" x14ac:dyDescent="0.25">
      <c r="B22">
        <v>1</v>
      </c>
      <c r="C22">
        <v>296.60000000000002</v>
      </c>
      <c r="D22" s="3">
        <f>(59.5/296.6)*100</f>
        <v>20.060687795010111</v>
      </c>
      <c r="E22" s="3">
        <f>(61.2/296.6)*100</f>
        <v>20.633850303438976</v>
      </c>
      <c r="F22" s="3">
        <f>(55.4/296.6)*100</f>
        <v>18.67835468644639</v>
      </c>
      <c r="H22" s="2">
        <f>((D22/E22)*100)-100</f>
        <v>-2.7777777777777999</v>
      </c>
      <c r="I22" s="2">
        <f>((D22/F22)*100)-100</f>
        <v>7.4007220216606413</v>
      </c>
      <c r="K22" s="2"/>
      <c r="M22">
        <v>1</v>
      </c>
      <c r="N22" s="3">
        <f>(137.3/296.6)*100</f>
        <v>46.291301416048555</v>
      </c>
      <c r="O22" s="3">
        <f>(145.6/296.6)*100</f>
        <v>49.089683074848274</v>
      </c>
      <c r="P22" s="3">
        <f>(137.9/296.6)*100</f>
        <v>46.493594066082267</v>
      </c>
      <c r="R22" s="2">
        <f>((N22/O22)*100)-100</f>
        <v>-5.7005494505494312</v>
      </c>
      <c r="S22" s="2">
        <f>((N22/P22)*100)-100</f>
        <v>-0.43509789702682156</v>
      </c>
      <c r="W22">
        <v>1</v>
      </c>
      <c r="X22" s="3">
        <f>(261.8/296.6)*100</f>
        <v>88.267026298044499</v>
      </c>
      <c r="Y22" s="3">
        <f>(241.8/296.6)*100</f>
        <v>81.523937963587329</v>
      </c>
      <c r="Z22" s="3">
        <f>(239.1/296.6)*100</f>
        <v>80.613621038435596</v>
      </c>
      <c r="AB22" s="2">
        <f>((X22/Y22)*100)-100</f>
        <v>8.2712985938792229</v>
      </c>
      <c r="AC22" s="2">
        <f>((X22/Z22)*100)-100</f>
        <v>9.4939355918026109</v>
      </c>
    </row>
    <row r="23" spans="1:39" x14ac:dyDescent="0.25">
      <c r="B23">
        <v>2</v>
      </c>
      <c r="C23">
        <v>299.60000000000002</v>
      </c>
      <c r="D23" s="3">
        <f>(89.5/299.6)*100</f>
        <v>29.87316421895861</v>
      </c>
      <c r="E23" s="3">
        <f>(85.5/299.6)*100</f>
        <v>28.538050734312414</v>
      </c>
      <c r="F23" s="3">
        <f>(84.5/299.6)*100</f>
        <v>28.204272363150867</v>
      </c>
      <c r="H23" s="2">
        <f t="shared" ref="H23:H32" si="12">((D23/E23)*100)-100</f>
        <v>4.6783625730994203</v>
      </c>
      <c r="I23" s="2">
        <f t="shared" ref="I23:I32" si="13">((D23/F23)*100)-100</f>
        <v>5.9171597633136201</v>
      </c>
      <c r="K23" s="2"/>
      <c r="M23">
        <v>2</v>
      </c>
      <c r="N23" s="3">
        <f>(177.5/299.6)*100</f>
        <v>59.245660881174899</v>
      </c>
      <c r="O23" s="3">
        <f>(185.7/299.6)*100</f>
        <v>61.98264352469959</v>
      </c>
      <c r="P23" s="3">
        <f>(176.1/299.6)*100</f>
        <v>58.778371161548726</v>
      </c>
      <c r="R23" s="2">
        <f t="shared" ref="R23:R32" si="14">((N23/O23)*100)-100</f>
        <v>-4.4157242864835524</v>
      </c>
      <c r="S23" s="2">
        <f t="shared" ref="S23:S32" si="15">((N23/P23)*100)-100</f>
        <v>0.79500283929586146</v>
      </c>
      <c r="W23">
        <v>2</v>
      </c>
      <c r="X23" s="3">
        <f>(258.1/299.6)*100</f>
        <v>86.148197596795725</v>
      </c>
      <c r="Y23" s="3">
        <f>(286.6/299.6)*100</f>
        <v>95.66088117489987</v>
      </c>
      <c r="Z23" s="3">
        <f>(285/299.6)*100</f>
        <v>95.126835781041379</v>
      </c>
      <c r="AB23" s="2">
        <f t="shared" ref="AB23:AB32" si="16">((X23/Y23)*100)-100</f>
        <v>-9.9441730635031433</v>
      </c>
      <c r="AC23" s="2">
        <f t="shared" ref="AC23:AC32" si="17">((X23/Z23)*100)-100</f>
        <v>-9.4385964912280684</v>
      </c>
    </row>
    <row r="24" spans="1:39" x14ac:dyDescent="0.25">
      <c r="B24">
        <v>3</v>
      </c>
      <c r="C24">
        <v>142.30000000000001</v>
      </c>
      <c r="D24" s="3">
        <f>(25.3/142.3)*100</f>
        <v>17.779339423752635</v>
      </c>
      <c r="E24" s="3">
        <f>(25.9/142.3)*100</f>
        <v>18.200983836964156</v>
      </c>
      <c r="F24" s="3">
        <f>(25.7/142.3)*100</f>
        <v>18.060435699226986</v>
      </c>
      <c r="H24" s="2">
        <f t="shared" si="12"/>
        <v>-2.3166023166022853</v>
      </c>
      <c r="I24" s="2">
        <f t="shared" si="13"/>
        <v>-1.5564202334630437</v>
      </c>
      <c r="K24" s="2"/>
      <c r="M24">
        <v>3</v>
      </c>
      <c r="N24" s="3">
        <f>(71.4/142.3)*100</f>
        <v>50.17568517217147</v>
      </c>
      <c r="O24" s="3">
        <f>(75/142.3)*100</f>
        <v>52.705551651440615</v>
      </c>
      <c r="P24" s="3">
        <f>(80.8/142.3)*100</f>
        <v>56.78144764581868</v>
      </c>
      <c r="R24" s="2">
        <f t="shared" si="14"/>
        <v>-4.7999999999999972</v>
      </c>
      <c r="S24" s="2">
        <f t="shared" si="15"/>
        <v>-11.633663366336606</v>
      </c>
      <c r="W24">
        <v>3</v>
      </c>
      <c r="X24" s="3">
        <f>(123.5/142.3)*100</f>
        <v>86.78847505270555</v>
      </c>
      <c r="Y24" s="3">
        <f>(144.9/142.3)*100</f>
        <v>101.82712579058327</v>
      </c>
      <c r="Z24" s="3">
        <f>(141.7/142.3)*100</f>
        <v>99.578355586788462</v>
      </c>
      <c r="AB24" s="2">
        <f t="shared" si="16"/>
        <v>-14.768806073153897</v>
      </c>
      <c r="AC24" s="2">
        <f t="shared" si="17"/>
        <v>-12.844036697247702</v>
      </c>
    </row>
    <row r="25" spans="1:39" x14ac:dyDescent="0.25">
      <c r="B25">
        <v>4</v>
      </c>
      <c r="C25" s="3">
        <v>200</v>
      </c>
      <c r="D25" s="3">
        <f>(36.9/200)*100</f>
        <v>18.45</v>
      </c>
      <c r="E25" s="3">
        <f>(38.5/200)*100</f>
        <v>19.25</v>
      </c>
      <c r="F25" s="3">
        <f>(34.9/200)*100</f>
        <v>17.45</v>
      </c>
      <c r="H25" s="2">
        <f t="shared" si="12"/>
        <v>-4.1558441558441643</v>
      </c>
      <c r="I25" s="2">
        <f t="shared" si="13"/>
        <v>5.7306590257879719</v>
      </c>
      <c r="K25" s="2"/>
      <c r="M25">
        <v>4</v>
      </c>
      <c r="N25" s="3">
        <f>(95.8/200)*100</f>
        <v>47.9</v>
      </c>
      <c r="O25" s="3">
        <f>(91.8/200)*100</f>
        <v>45.9</v>
      </c>
      <c r="P25" s="3">
        <f>(93.5/200)*100</f>
        <v>46.75</v>
      </c>
      <c r="R25" s="2">
        <f t="shared" si="14"/>
        <v>4.357298474945523</v>
      </c>
      <c r="S25" s="2">
        <f t="shared" si="15"/>
        <v>2.4598930481283503</v>
      </c>
      <c r="W25">
        <v>4</v>
      </c>
      <c r="X25" s="3">
        <f>(161.8/200)*100</f>
        <v>80.900000000000006</v>
      </c>
      <c r="Y25" s="3">
        <f>(177.2/200)*100</f>
        <v>88.6</v>
      </c>
      <c r="Z25" s="3">
        <v>86.3</v>
      </c>
      <c r="AB25" s="2">
        <f t="shared" si="16"/>
        <v>-8.6907449209932253</v>
      </c>
      <c r="AC25" s="2">
        <f t="shared" si="17"/>
        <v>-6.2572421784472709</v>
      </c>
    </row>
    <row r="26" spans="1:39" x14ac:dyDescent="0.25">
      <c r="B26">
        <v>5</v>
      </c>
      <c r="C26">
        <v>575.1</v>
      </c>
      <c r="D26" s="3">
        <f>(120.6/575.1)*100</f>
        <v>20.970266040688575</v>
      </c>
      <c r="E26" s="3">
        <f>(146.2/575.1)*100</f>
        <v>25.421665797252647</v>
      </c>
      <c r="F26" s="3">
        <f>(145.9/575.1)*100</f>
        <v>25.369500956355417</v>
      </c>
      <c r="H26" s="2">
        <f t="shared" si="12"/>
        <v>-17.510259917920649</v>
      </c>
      <c r="I26" s="2">
        <f t="shared" si="13"/>
        <v>-17.340644276901998</v>
      </c>
      <c r="K26" s="2"/>
      <c r="M26">
        <v>5</v>
      </c>
      <c r="N26" s="3">
        <f>(245.8/575.1)*100</f>
        <v>42.74039297513476</v>
      </c>
      <c r="O26" s="3">
        <f>(280.4/575.1)*100</f>
        <v>48.756737958615886</v>
      </c>
      <c r="P26" s="3">
        <f>(308.5/575.1)*100</f>
        <v>53.642844722656925</v>
      </c>
      <c r="R26" s="2">
        <f t="shared" si="14"/>
        <v>-12.339514978601983</v>
      </c>
      <c r="S26" s="2">
        <f t="shared" si="15"/>
        <v>-20.324149108589936</v>
      </c>
      <c r="W26">
        <v>5</v>
      </c>
      <c r="X26" s="3">
        <f>(430/575.1)*100</f>
        <v>74.769605286037205</v>
      </c>
      <c r="Y26" s="3">
        <f>(495.5/575.1)*100</f>
        <v>86.158928881933576</v>
      </c>
      <c r="Z26" s="3">
        <f>(495.3/575.1)*100</f>
        <v>86.12415232133543</v>
      </c>
      <c r="AB26" s="2">
        <f t="shared" si="16"/>
        <v>-13.218970736629672</v>
      </c>
      <c r="AC26" s="2">
        <f t="shared" si="17"/>
        <v>-13.183928931960438</v>
      </c>
    </row>
    <row r="27" spans="1:39" x14ac:dyDescent="0.25">
      <c r="B27">
        <v>6</v>
      </c>
      <c r="C27">
        <v>475.8</v>
      </c>
      <c r="D27" s="3">
        <f>(116.4/475.8)*100</f>
        <v>24.464060529634303</v>
      </c>
      <c r="E27" s="3">
        <f>(121/475.8)*100</f>
        <v>25.43085329970576</v>
      </c>
      <c r="F27" s="3">
        <f>(118.4/475.8)*100</f>
        <v>24.884405212274068</v>
      </c>
      <c r="H27" s="2">
        <f t="shared" si="12"/>
        <v>-3.8016528925619752</v>
      </c>
      <c r="I27" s="2">
        <f t="shared" si="13"/>
        <v>-1.689189189189193</v>
      </c>
      <c r="K27" s="2"/>
      <c r="M27">
        <v>6</v>
      </c>
      <c r="N27" s="3">
        <f>(215.2/475.8)*100</f>
        <v>45.229087852038667</v>
      </c>
      <c r="O27" s="3">
        <f>(194.4/475.8)*100</f>
        <v>40.857503152585117</v>
      </c>
      <c r="P27" s="3">
        <f>(220.6/475.8)*100</f>
        <v>46.364018495166029</v>
      </c>
      <c r="R27" s="2">
        <f t="shared" si="14"/>
        <v>10.699588477366248</v>
      </c>
      <c r="S27" s="2">
        <f t="shared" si="15"/>
        <v>-2.4478694469628266</v>
      </c>
      <c r="W27">
        <v>6</v>
      </c>
      <c r="X27" s="3">
        <f>(398.8/475.8)*100</f>
        <v>83.816729718369061</v>
      </c>
      <c r="Y27" s="3">
        <f>(368.1/475.8)*100</f>
        <v>77.364438839848688</v>
      </c>
      <c r="Z27" s="3">
        <f>(391.7/475.8)*100</f>
        <v>82.324506094997901</v>
      </c>
      <c r="AB27" s="2">
        <f t="shared" si="16"/>
        <v>8.3401249660418131</v>
      </c>
      <c r="AC27" s="2">
        <f t="shared" si="17"/>
        <v>1.8126116926218998</v>
      </c>
    </row>
    <row r="28" spans="1:39" x14ac:dyDescent="0.25">
      <c r="B28">
        <v>7</v>
      </c>
      <c r="D28" s="3"/>
      <c r="E28" s="3"/>
      <c r="F28" s="3"/>
      <c r="H28" s="2"/>
      <c r="I28" s="2"/>
      <c r="K28" s="2"/>
      <c r="M28">
        <v>7</v>
      </c>
      <c r="N28" s="3"/>
      <c r="O28" s="3"/>
      <c r="P28" s="3"/>
      <c r="R28" s="2"/>
      <c r="S28" s="2"/>
      <c r="W28">
        <v>7</v>
      </c>
      <c r="X28" s="3"/>
      <c r="Y28" s="3"/>
      <c r="Z28" s="3"/>
      <c r="AB28" s="2"/>
      <c r="AC28" s="2"/>
    </row>
    <row r="29" spans="1:39" x14ac:dyDescent="0.25">
      <c r="B29">
        <v>8</v>
      </c>
      <c r="C29">
        <v>582.6</v>
      </c>
      <c r="D29" s="3">
        <f>(94.9/582.6)*100</f>
        <v>16.28904909028493</v>
      </c>
      <c r="E29" s="3">
        <f>(93.1/582.6)*100</f>
        <v>15.980089255063506</v>
      </c>
      <c r="F29" s="3">
        <v>16.5</v>
      </c>
      <c r="H29" s="2">
        <f t="shared" si="12"/>
        <v>1.9334049409237508</v>
      </c>
      <c r="I29" s="2">
        <f t="shared" si="13"/>
        <v>-1.2784903619095189</v>
      </c>
      <c r="K29" s="2"/>
      <c r="M29">
        <v>8</v>
      </c>
      <c r="N29" s="3">
        <f>(184.2/582.6)*100</f>
        <v>31.616889804325432</v>
      </c>
      <c r="O29" s="3">
        <f>(176.9/582.6)*100</f>
        <v>30.363886028149672</v>
      </c>
      <c r="P29" s="3">
        <v>31.3</v>
      </c>
      <c r="R29" s="2">
        <f t="shared" si="14"/>
        <v>4.1266252119841624</v>
      </c>
      <c r="S29" s="2">
        <f t="shared" si="15"/>
        <v>1.0124274898576147</v>
      </c>
      <c r="W29">
        <v>8</v>
      </c>
      <c r="X29" s="3">
        <f>(324.7/582.6)*100</f>
        <v>55.732921386886368</v>
      </c>
      <c r="Y29" s="3">
        <f>(332.3/582.6)*100</f>
        <v>57.03741846893238</v>
      </c>
      <c r="Z29" s="3">
        <v>56.5</v>
      </c>
      <c r="AB29" s="2">
        <f t="shared" si="16"/>
        <v>-2.2870899789347163</v>
      </c>
      <c r="AC29" s="2">
        <f t="shared" si="17"/>
        <v>-1.357661262148028</v>
      </c>
    </row>
    <row r="30" spans="1:39" x14ac:dyDescent="0.25">
      <c r="B30">
        <v>9</v>
      </c>
      <c r="D30" s="3"/>
      <c r="E30" s="3"/>
      <c r="F30" s="3"/>
      <c r="H30" s="2"/>
      <c r="I30" s="2"/>
      <c r="K30" s="2"/>
      <c r="M30">
        <v>9</v>
      </c>
      <c r="N30" s="3"/>
      <c r="O30" s="3"/>
      <c r="P30" s="3"/>
      <c r="R30" s="2"/>
      <c r="S30" s="2"/>
      <c r="W30">
        <v>9</v>
      </c>
      <c r="X30" s="3"/>
      <c r="Y30" s="3"/>
      <c r="Z30" s="3"/>
      <c r="AB30" s="2"/>
      <c r="AC30" s="2"/>
    </row>
    <row r="31" spans="1:39" x14ac:dyDescent="0.25">
      <c r="B31">
        <v>10</v>
      </c>
      <c r="C31">
        <v>559.4</v>
      </c>
      <c r="D31" s="3">
        <f>(140.7/559.4)*100</f>
        <v>25.151948516267431</v>
      </c>
      <c r="E31" s="3">
        <f>(133.4/559.4)*100</f>
        <v>23.846978905970683</v>
      </c>
      <c r="F31" s="3">
        <f>(120.4/559.4)*100</f>
        <v>21.523060421880587</v>
      </c>
      <c r="H31" s="2">
        <f t="shared" si="12"/>
        <v>5.4722638680659657</v>
      </c>
      <c r="I31" s="2">
        <f t="shared" si="13"/>
        <v>16.860465116279073</v>
      </c>
      <c r="K31" s="2"/>
      <c r="M31">
        <v>10</v>
      </c>
      <c r="N31" s="3">
        <f>(239.3/559.4)*100</f>
        <v>42.777976403289244</v>
      </c>
      <c r="O31" s="3">
        <f>(250.9/559.4)*100</f>
        <v>44.851626742938869</v>
      </c>
      <c r="P31" s="3">
        <f>(241.2/559.4)*100</f>
        <v>43.117626027887027</v>
      </c>
      <c r="R31" s="2">
        <f t="shared" si="14"/>
        <v>-4.6233559186927096</v>
      </c>
      <c r="S31" s="2">
        <f t="shared" si="15"/>
        <v>-0.78772802653399765</v>
      </c>
      <c r="W31">
        <v>10</v>
      </c>
      <c r="X31" s="3">
        <f>(409.4/559.4)*100</f>
        <v>73.185555952806581</v>
      </c>
      <c r="Y31" s="3">
        <f>(389.7/559.4)*100</f>
        <v>69.663925634608518</v>
      </c>
      <c r="Z31" s="3">
        <f>(380.8/559.4)*100</f>
        <v>68.072935287808363</v>
      </c>
      <c r="AB31" s="2">
        <f t="shared" si="16"/>
        <v>5.0551706440851802</v>
      </c>
      <c r="AC31" s="2">
        <f t="shared" si="17"/>
        <v>7.5105042016806891</v>
      </c>
    </row>
    <row r="32" spans="1:39" x14ac:dyDescent="0.25">
      <c r="B32">
        <v>11</v>
      </c>
      <c r="C32">
        <v>664.4</v>
      </c>
      <c r="D32" s="3">
        <f>(110.4/664.4)*100</f>
        <v>16.616496086694763</v>
      </c>
      <c r="E32" s="3">
        <f>(109.9/664.4)*100</f>
        <v>16.541240216736909</v>
      </c>
      <c r="F32" s="3">
        <f>(118.6/664.4)*100</f>
        <v>17.850692354003613</v>
      </c>
      <c r="H32" s="2">
        <f t="shared" si="12"/>
        <v>0.45495905368515821</v>
      </c>
      <c r="I32" s="2">
        <f t="shared" si="13"/>
        <v>-6.9139966273187241</v>
      </c>
      <c r="K32" s="2"/>
      <c r="M32">
        <v>11</v>
      </c>
      <c r="N32" s="3">
        <f>(259/664.4)*100</f>
        <v>38.98254063816978</v>
      </c>
      <c r="O32" s="3">
        <f>(288.1/664.4)*100</f>
        <v>43.362432269717047</v>
      </c>
      <c r="P32" s="3">
        <f>(272.7/664.4)*100</f>
        <v>41.044551475015048</v>
      </c>
      <c r="R32" s="2">
        <f t="shared" si="14"/>
        <v>-10.100659493231518</v>
      </c>
      <c r="S32" s="2">
        <f t="shared" si="15"/>
        <v>-5.0238357169050119</v>
      </c>
      <c r="W32">
        <v>11</v>
      </c>
      <c r="X32" s="3">
        <f>(507.5/664.4)*100</f>
        <v>76.38470800722456</v>
      </c>
      <c r="Y32" s="3">
        <f>(562.2/664.4)*100</f>
        <v>84.617700180614094</v>
      </c>
      <c r="Z32" s="3">
        <f>(585.1/664.4)*100</f>
        <v>88.064419024683929</v>
      </c>
      <c r="AB32" s="2">
        <f t="shared" si="16"/>
        <v>-9.7296335823550493</v>
      </c>
      <c r="AC32" s="2">
        <f t="shared" si="17"/>
        <v>-13.262690138437875</v>
      </c>
    </row>
    <row r="33" spans="1:29" x14ac:dyDescent="0.25">
      <c r="B33">
        <v>12</v>
      </c>
      <c r="D33" s="3"/>
      <c r="E33" s="3"/>
      <c r="F33" s="3"/>
      <c r="H33" s="2"/>
      <c r="I33" s="2"/>
      <c r="K33" s="2"/>
      <c r="M33">
        <v>12</v>
      </c>
      <c r="N33" s="3"/>
      <c r="O33" s="3"/>
      <c r="P33" s="3"/>
      <c r="R33" s="2"/>
      <c r="S33" s="2"/>
      <c r="W33">
        <v>12</v>
      </c>
      <c r="X33" s="3"/>
      <c r="Y33" s="3"/>
      <c r="Z33" s="3"/>
      <c r="AB33" s="2"/>
      <c r="AC33" s="2"/>
    </row>
    <row r="34" spans="1:29" x14ac:dyDescent="0.25">
      <c r="D34" s="3"/>
      <c r="E34" s="3"/>
      <c r="F34" s="3"/>
      <c r="G34" s="3"/>
      <c r="I34" s="2"/>
      <c r="N34" s="3"/>
      <c r="O34" s="3"/>
      <c r="P34" s="3"/>
      <c r="Q34" s="3"/>
      <c r="S34" s="2"/>
      <c r="X34" s="3"/>
      <c r="Y34" s="3"/>
      <c r="Z34" s="3"/>
      <c r="AA34" s="3"/>
      <c r="AC34" s="2"/>
    </row>
    <row r="35" spans="1:29" x14ac:dyDescent="0.25">
      <c r="D35" s="3">
        <f>AVERAGE(D22:D33)</f>
        <v>21.072779077921258</v>
      </c>
      <c r="E35" s="3">
        <f>AVERAGE(E22:E33)</f>
        <v>21.538190261049447</v>
      </c>
      <c r="F35" s="3">
        <f>AVERAGE(F22:F34)</f>
        <v>20.946746854815324</v>
      </c>
      <c r="H35" s="3">
        <f>AVERAGE(H22:H33)</f>
        <v>-2.0025718472147309</v>
      </c>
      <c r="I35" s="3">
        <f>AVERAGE(I22:I34)</f>
        <v>0.79225169313986987</v>
      </c>
      <c r="N35" s="3">
        <f>AVERAGE(N22:N33)</f>
        <v>44.99550390470587</v>
      </c>
      <c r="O35" s="3">
        <f>AVERAGE(O22:O33)</f>
        <v>46.430007155888347</v>
      </c>
      <c r="P35" s="3">
        <f>AVERAGE(P22:P34)</f>
        <v>47.14138373268608</v>
      </c>
      <c r="R35" s="3">
        <f>AVERAGE(R22:R33)</f>
        <v>-2.5329213292514732</v>
      </c>
      <c r="S35" s="3">
        <f>AVERAGE(S22:S34)</f>
        <v>-4.0427800205637077</v>
      </c>
      <c r="X35" s="3">
        <f>AVERAGE(X22:X33)</f>
        <v>78.443691033207713</v>
      </c>
      <c r="Y35" s="3">
        <f>AVERAGE(Y22:Y33)</f>
        <v>82.494928548334187</v>
      </c>
      <c r="Z35" s="3">
        <f>AVERAGE(Z22:Z34)</f>
        <v>82.522758348343459</v>
      </c>
      <c r="AB35" s="3">
        <f>AVERAGE(AB22:AB33)</f>
        <v>-4.108091572395943</v>
      </c>
      <c r="AC35" s="3">
        <f>AVERAGE(AC22:AC34)</f>
        <v>-4.1696782459293535</v>
      </c>
    </row>
    <row r="36" spans="1:29" x14ac:dyDescent="0.25">
      <c r="D36" s="3">
        <f>STDEV(D22:D33)</f>
        <v>4.5701514615156222</v>
      </c>
      <c r="E36" s="3">
        <f>STDEV(E22:E33)</f>
        <v>4.4386843223756127</v>
      </c>
      <c r="F36" s="3">
        <f>STDEV(F22:F34)</f>
        <v>4.2298413941946116</v>
      </c>
      <c r="H36" s="3">
        <f>STDEV(H22:H33)</f>
        <v>6.8108428995265857</v>
      </c>
      <c r="I36" s="3">
        <f>STDEV(I22:I34)</f>
        <v>9.725365501950062</v>
      </c>
      <c r="N36" s="3">
        <f>STDEV(N22:N33)</f>
        <v>7.6257540451097903</v>
      </c>
      <c r="O36" s="3">
        <f>STDEV(O22:O33)</f>
        <v>8.6248896073509425</v>
      </c>
      <c r="P36" s="3">
        <f>STDEV(P22:P34)</f>
        <v>8.4860756630722278</v>
      </c>
      <c r="R36" s="3">
        <f>STDEV(R22:R33)</f>
        <v>7.4452360787956442</v>
      </c>
      <c r="S36" s="3">
        <f>STDEV(S22:S34)</f>
        <v>7.4251721879526498</v>
      </c>
      <c r="X36" s="3">
        <f>STDEV(X22:X33)</f>
        <v>10.133861033246854</v>
      </c>
      <c r="Y36" s="3">
        <f>STDEV(Y22:Y33)</f>
        <v>13.426947329135313</v>
      </c>
      <c r="Z36" s="3">
        <f>STDEV(Z22:Z34)</f>
        <v>13.21632139130433</v>
      </c>
      <c r="AB36" s="3">
        <f>STDEV(AB22:AB33)</f>
        <v>9.2114742535737228</v>
      </c>
      <c r="AC36" s="3">
        <f>STDEV(AC22:AC34)</f>
        <v>8.9311234976341787</v>
      </c>
    </row>
    <row r="40" spans="1:29" x14ac:dyDescent="0.25">
      <c r="A40" t="s">
        <v>17</v>
      </c>
      <c r="H40" t="s">
        <v>14</v>
      </c>
      <c r="I40" t="s">
        <v>15</v>
      </c>
      <c r="L40" t="s">
        <v>17</v>
      </c>
      <c r="R40" t="s">
        <v>14</v>
      </c>
      <c r="S40" t="s">
        <v>15</v>
      </c>
      <c r="V40" t="s">
        <v>17</v>
      </c>
      <c r="AB40" t="s">
        <v>14</v>
      </c>
      <c r="AC40" t="s">
        <v>15</v>
      </c>
    </row>
    <row r="41" spans="1:29" x14ac:dyDescent="0.25">
      <c r="A41" s="1">
        <v>0.25</v>
      </c>
      <c r="B41" t="s">
        <v>1</v>
      </c>
      <c r="D41" t="s">
        <v>20</v>
      </c>
      <c r="E41" t="s">
        <v>21</v>
      </c>
      <c r="F41" t="s">
        <v>22</v>
      </c>
      <c r="H41" t="s">
        <v>13</v>
      </c>
      <c r="I41" t="s">
        <v>13</v>
      </c>
      <c r="K41" s="1"/>
      <c r="L41" s="1">
        <v>0.5</v>
      </c>
      <c r="M41" t="s">
        <v>1</v>
      </c>
      <c r="N41" t="s">
        <v>20</v>
      </c>
      <c r="O41" t="s">
        <v>21</v>
      </c>
      <c r="P41" t="s">
        <v>22</v>
      </c>
      <c r="R41" t="s">
        <v>13</v>
      </c>
      <c r="S41" t="s">
        <v>13</v>
      </c>
      <c r="V41" s="1">
        <v>0.75</v>
      </c>
      <c r="W41" t="s">
        <v>1</v>
      </c>
      <c r="X41" t="s">
        <v>20</v>
      </c>
      <c r="Y41" t="s">
        <v>21</v>
      </c>
      <c r="Z41" t="s">
        <v>22</v>
      </c>
      <c r="AB41" t="s">
        <v>13</v>
      </c>
      <c r="AC41" t="s">
        <v>13</v>
      </c>
    </row>
    <row r="42" spans="1:29" x14ac:dyDescent="0.25">
      <c r="B42">
        <v>1</v>
      </c>
      <c r="C42">
        <v>370.7</v>
      </c>
      <c r="D42" s="3">
        <f>(64.6/370.7)*100</f>
        <v>17.426490423523063</v>
      </c>
      <c r="E42" s="3">
        <f>(79.1/370.7)*100</f>
        <v>21.338009171837065</v>
      </c>
      <c r="F42" s="3">
        <f>(79.5/370.7)*100</f>
        <v>21.445913137307794</v>
      </c>
      <c r="H42" s="2">
        <f>((D42/E42)*100)-100</f>
        <v>-18.331226295828074</v>
      </c>
      <c r="I42" s="2">
        <f>((D42/F42)*100)-100</f>
        <v>-18.742138364779876</v>
      </c>
      <c r="K42" s="2"/>
      <c r="M42">
        <v>1</v>
      </c>
      <c r="N42" s="3">
        <f>(159.1/370.7)*100</f>
        <v>42.918802265983274</v>
      </c>
      <c r="O42" s="3">
        <f>(184.3/370.7)*100</f>
        <v>49.716752090639339</v>
      </c>
      <c r="P42" s="3">
        <f>(184.1/370.7)*100</f>
        <v>49.662800107903962</v>
      </c>
      <c r="R42" s="2">
        <f>((N42/O42)*100)-100</f>
        <v>-13.673358654367888</v>
      </c>
      <c r="S42" s="2">
        <f>((N42/P42)*100)-100</f>
        <v>-13.579576317218894</v>
      </c>
      <c r="W42">
        <v>1</v>
      </c>
      <c r="X42" s="3">
        <f>(302.4/370.7)*100</f>
        <v>81.575397895872669</v>
      </c>
      <c r="Y42" s="3">
        <f>(317.6/370.7)*100</f>
        <v>85.675748583760452</v>
      </c>
      <c r="Z42" s="3">
        <f>(311.2/370.7)*100</f>
        <v>83.949285136228752</v>
      </c>
      <c r="AB42" s="2">
        <f>((X42/Y42)*100)-100</f>
        <v>-4.7858942065491306</v>
      </c>
      <c r="AC42" s="2">
        <f>((X42/Z42)*100)-100</f>
        <v>-2.8277634961439588</v>
      </c>
    </row>
    <row r="43" spans="1:29" x14ac:dyDescent="0.25">
      <c r="B43">
        <v>2</v>
      </c>
      <c r="C43">
        <v>393.8</v>
      </c>
      <c r="D43" s="3">
        <f>(89.1/393.8)*100</f>
        <v>22.625698324022345</v>
      </c>
      <c r="E43" s="3">
        <f>(93.1/393.8)*100</f>
        <v>23.641442356526156</v>
      </c>
      <c r="F43" s="3">
        <f>(91.6/393.8)*100</f>
        <v>23.260538344337224</v>
      </c>
      <c r="H43" s="2">
        <f t="shared" ref="H43:H52" si="18">((D43/E43)*100)-100</f>
        <v>-4.2964554242749813</v>
      </c>
      <c r="I43" s="2">
        <f t="shared" ref="I43:I52" si="19">((D43/F43)*100)-100</f>
        <v>-2.729257641921393</v>
      </c>
      <c r="K43" s="2"/>
      <c r="M43">
        <v>2</v>
      </c>
      <c r="N43" s="3">
        <f>(198.8/393.8)*100</f>
        <v>50.482478415439317</v>
      </c>
      <c r="O43" s="3">
        <f>(195.7/393.8)*100</f>
        <v>49.695276790248855</v>
      </c>
      <c r="P43" s="3">
        <v>51.6</v>
      </c>
      <c r="R43" s="2">
        <f t="shared" ref="R43:R52" si="20">((N43/O43)*100)-100</f>
        <v>1.5840572304548033</v>
      </c>
      <c r="S43" s="2">
        <f t="shared" ref="S43:S52" si="21">((N43/P43)*100)-100</f>
        <v>-2.1657395049625734</v>
      </c>
      <c r="W43">
        <v>2</v>
      </c>
      <c r="X43" s="3">
        <f>(335.7/393.8)*100</f>
        <v>85.24631792788216</v>
      </c>
      <c r="Y43" s="3">
        <f>(330.4/393.8)*100</f>
        <v>83.900457084814619</v>
      </c>
      <c r="Z43" s="3">
        <f>(336.8/393.8)*100</f>
        <v>85.525647536820728</v>
      </c>
      <c r="AB43" s="2">
        <f t="shared" ref="AB43:AB52" si="22">((X43/Y43)*100)-100</f>
        <v>1.6041162227602825</v>
      </c>
      <c r="AC43" s="2">
        <f t="shared" ref="AC43:AC52" si="23">((X43/Z43)*100)-100</f>
        <v>-0.32660332541570369</v>
      </c>
    </row>
    <row r="44" spans="1:29" x14ac:dyDescent="0.25">
      <c r="B44">
        <v>3</v>
      </c>
      <c r="C44">
        <v>196.6</v>
      </c>
      <c r="D44" s="3">
        <f>(41.7/196.6)*100</f>
        <v>21.210579857578843</v>
      </c>
      <c r="E44" s="3">
        <f>(38.8/196.6)*100</f>
        <v>19.73550356052899</v>
      </c>
      <c r="F44" s="3">
        <f>(41/196.6)*100</f>
        <v>20.854526958290947</v>
      </c>
      <c r="H44" s="2">
        <f t="shared" si="18"/>
        <v>7.474226804123731</v>
      </c>
      <c r="I44" s="2">
        <f t="shared" si="19"/>
        <v>1.7073170731707279</v>
      </c>
      <c r="K44" s="2"/>
      <c r="M44">
        <v>3</v>
      </c>
      <c r="N44" s="3">
        <f>(111.4/196.6)*100</f>
        <v>56.663275686673451</v>
      </c>
      <c r="O44" s="3">
        <f>(141/196.6)*100</f>
        <v>71.719226856561548</v>
      </c>
      <c r="P44" s="3">
        <f>(166.6/196.6)*100</f>
        <v>84.740590030518817</v>
      </c>
      <c r="R44" s="2">
        <f t="shared" si="20"/>
        <v>-20.99290780141844</v>
      </c>
      <c r="S44" s="2">
        <f t="shared" si="21"/>
        <v>-33.133253301320522</v>
      </c>
      <c r="W44">
        <v>3</v>
      </c>
      <c r="X44" s="3">
        <f>(188/196.6)*100</f>
        <v>95.625635808748726</v>
      </c>
      <c r="Y44" s="3">
        <f>(217.3/196.6)*100</f>
        <v>110.52899287894202</v>
      </c>
      <c r="Z44" s="3">
        <f>(240/196.6)*100</f>
        <v>122.07527975584944</v>
      </c>
      <c r="AB44" s="2">
        <f t="shared" si="22"/>
        <v>-13.483663138518182</v>
      </c>
      <c r="AC44" s="2">
        <f t="shared" si="23"/>
        <v>-21.666666666666671</v>
      </c>
    </row>
    <row r="45" spans="1:29" x14ac:dyDescent="0.25">
      <c r="B45">
        <v>4</v>
      </c>
      <c r="C45" s="3">
        <v>248</v>
      </c>
      <c r="D45" s="3">
        <f>(46.4/248)*100</f>
        <v>18.70967741935484</v>
      </c>
      <c r="E45" s="3">
        <f>(46.1/248)*100</f>
        <v>18.588709677419356</v>
      </c>
      <c r="F45" s="3">
        <v>18.5</v>
      </c>
      <c r="H45" s="2">
        <f t="shared" si="18"/>
        <v>0.65075921908895396</v>
      </c>
      <c r="I45" s="2">
        <f t="shared" si="19"/>
        <v>1.1333914559721165</v>
      </c>
      <c r="K45" s="2"/>
      <c r="M45">
        <v>4</v>
      </c>
      <c r="N45" s="3">
        <f>(104.4/248)*100</f>
        <v>42.096774193548391</v>
      </c>
      <c r="O45" s="3">
        <f>(106.8/248)*100</f>
        <v>43.064516129032256</v>
      </c>
      <c r="P45" s="3">
        <v>44.3</v>
      </c>
      <c r="R45" s="2">
        <f t="shared" si="20"/>
        <v>-2.247191011235941</v>
      </c>
      <c r="S45" s="2">
        <f t="shared" si="21"/>
        <v>-4.9734216849923456</v>
      </c>
      <c r="W45">
        <v>4</v>
      </c>
      <c r="X45" s="3">
        <f>(187.5/248)*100</f>
        <v>75.604838709677423</v>
      </c>
      <c r="Y45" s="3">
        <f>(190.8/248)*100</f>
        <v>76.935483870967744</v>
      </c>
      <c r="Z45" s="3">
        <f>(191.6/248)*100</f>
        <v>77.258064516129039</v>
      </c>
      <c r="AB45" s="2">
        <f t="shared" si="22"/>
        <v>-1.7295597484276612</v>
      </c>
      <c r="AC45" s="2">
        <f t="shared" si="23"/>
        <v>-2.1398747390396693</v>
      </c>
    </row>
    <row r="46" spans="1:29" x14ac:dyDescent="0.25">
      <c r="B46">
        <v>5</v>
      </c>
      <c r="C46">
        <v>633.20000000000005</v>
      </c>
      <c r="D46" s="3">
        <f>(131.4/633.2)*100</f>
        <v>20.751737207833227</v>
      </c>
      <c r="E46" s="3">
        <f>(153.4/633.2)*100</f>
        <v>24.226152874289323</v>
      </c>
      <c r="F46" s="3">
        <f>(163/633.2)*100</f>
        <v>25.742261528742894</v>
      </c>
      <c r="H46" s="2">
        <f t="shared" si="18"/>
        <v>-14.341590612777054</v>
      </c>
      <c r="I46" s="2">
        <f t="shared" si="19"/>
        <v>-19.386503067484668</v>
      </c>
      <c r="K46" s="2"/>
      <c r="M46">
        <v>5</v>
      </c>
      <c r="N46" s="3">
        <f>(315.2/633.2)*100</f>
        <v>49.778900821225513</v>
      </c>
      <c r="O46" s="3">
        <f>(354.7/633.2)*100</f>
        <v>56.017056222362591</v>
      </c>
      <c r="P46" s="3">
        <f>(356/663.2)*100</f>
        <v>53.679131483715317</v>
      </c>
      <c r="R46" s="2">
        <f t="shared" si="20"/>
        <v>-11.136171412461223</v>
      </c>
      <c r="S46" s="2">
        <f t="shared" si="21"/>
        <v>-7.2658229645034709</v>
      </c>
      <c r="W46">
        <v>5</v>
      </c>
      <c r="X46" s="3">
        <f>(549.2/633.2)*100</f>
        <v>86.734049273531269</v>
      </c>
      <c r="Y46" s="3">
        <f>(575.2/633.2)*100</f>
        <v>90.840176879343019</v>
      </c>
      <c r="Z46" s="3">
        <f>(588.4/633.2)*100</f>
        <v>92.92482627921666</v>
      </c>
      <c r="AB46" s="2">
        <f t="shared" si="22"/>
        <v>-4.5201668984701087</v>
      </c>
      <c r="AC46" s="2">
        <f t="shared" si="23"/>
        <v>-6.6621346023113261</v>
      </c>
    </row>
    <row r="47" spans="1:29" x14ac:dyDescent="0.25">
      <c r="B47">
        <v>6</v>
      </c>
      <c r="C47">
        <v>436.6</v>
      </c>
      <c r="D47" s="3">
        <f>(86.1/436.6)*100</f>
        <v>19.720568025652767</v>
      </c>
      <c r="E47" s="3">
        <f>(94.5/436.6)*100</f>
        <v>21.644525881814015</v>
      </c>
      <c r="F47" s="3">
        <f>(94/436.6)*100</f>
        <v>21.53000458085204</v>
      </c>
      <c r="H47" s="2">
        <f t="shared" si="18"/>
        <v>-8.8888888888888999</v>
      </c>
      <c r="I47" s="2">
        <f t="shared" si="19"/>
        <v>-8.4042553191489731</v>
      </c>
      <c r="K47" s="2"/>
      <c r="M47">
        <v>6</v>
      </c>
      <c r="N47" s="3">
        <f>(144/436.6)*100</f>
        <v>32.982134677049928</v>
      </c>
      <c r="O47" s="3">
        <f>(151.8/436.6)*100</f>
        <v>34.768666972056806</v>
      </c>
      <c r="P47" s="3">
        <f>(148.7/436.6)*100</f>
        <v>34.058634906092529</v>
      </c>
      <c r="R47" s="2">
        <f t="shared" si="20"/>
        <v>-5.1383399209486385</v>
      </c>
      <c r="S47" s="2">
        <f t="shared" si="21"/>
        <v>-3.1607262945527879</v>
      </c>
      <c r="W47">
        <v>6</v>
      </c>
      <c r="X47" s="3">
        <f>(221.8/436.6)*100</f>
        <v>50.801649106733848</v>
      </c>
      <c r="Y47" s="3">
        <f>(231.7/436.6)*100</f>
        <v>53.069170865781032</v>
      </c>
      <c r="Z47" s="3">
        <f>(235.7/436.6)*100</f>
        <v>53.985341273476863</v>
      </c>
      <c r="AB47" s="2">
        <f t="shared" si="22"/>
        <v>-4.2727665084160549</v>
      </c>
      <c r="AC47" s="2">
        <f t="shared" si="23"/>
        <v>-5.8973271107339826</v>
      </c>
    </row>
    <row r="48" spans="1:29" x14ac:dyDescent="0.25">
      <c r="B48">
        <v>7</v>
      </c>
      <c r="D48" s="3"/>
      <c r="E48" s="3"/>
      <c r="F48" s="3"/>
      <c r="H48" s="2"/>
      <c r="I48" s="2"/>
      <c r="K48" s="2"/>
      <c r="M48">
        <v>7</v>
      </c>
      <c r="N48" s="3"/>
      <c r="O48" s="3"/>
      <c r="P48" s="3"/>
      <c r="R48" s="2"/>
      <c r="S48" s="2"/>
      <c r="W48">
        <v>7</v>
      </c>
      <c r="X48" s="3"/>
      <c r="Y48" s="3"/>
      <c r="Z48" s="3"/>
      <c r="AB48" s="2"/>
      <c r="AC48" s="2"/>
    </row>
    <row r="49" spans="1:29" x14ac:dyDescent="0.25">
      <c r="B49">
        <v>8</v>
      </c>
      <c r="C49">
        <v>665</v>
      </c>
      <c r="D49" s="3">
        <f>(128.5/665)*100</f>
        <v>19.323308270676691</v>
      </c>
      <c r="E49" s="3">
        <f>(132.5/665)*100</f>
        <v>19.924812030075188</v>
      </c>
      <c r="F49" s="3">
        <f>(132.3/665)*100</f>
        <v>19.894736842105264</v>
      </c>
      <c r="H49" s="2">
        <f t="shared" si="18"/>
        <v>-3.0188679245283083</v>
      </c>
      <c r="I49" s="2">
        <f t="shared" si="19"/>
        <v>-2.8722600151171633</v>
      </c>
      <c r="K49" s="2"/>
      <c r="M49">
        <v>8</v>
      </c>
      <c r="N49" s="3">
        <f>(347.9/665)*100</f>
        <v>52.315789473684205</v>
      </c>
      <c r="O49" s="3">
        <f>(311.8/665)*100</f>
        <v>46.887218045112782</v>
      </c>
      <c r="P49" s="3">
        <f>(323.9/665)*100</f>
        <v>48.70676691729323</v>
      </c>
      <c r="R49" s="2">
        <f t="shared" si="20"/>
        <v>11.577934573444509</v>
      </c>
      <c r="S49" s="2">
        <f t="shared" si="21"/>
        <v>7.4096943501080546</v>
      </c>
      <c r="W49">
        <v>8</v>
      </c>
      <c r="X49" s="3">
        <f>(579.6/665)*100</f>
        <v>87.15789473684211</v>
      </c>
      <c r="Y49" s="3">
        <f>(605.2/665)*100</f>
        <v>91.007518796992485</v>
      </c>
      <c r="Z49" s="3">
        <f>(568.7/665)*100</f>
        <v>85.518796992481199</v>
      </c>
      <c r="AB49" s="2">
        <f t="shared" si="22"/>
        <v>-4.2300066093853275</v>
      </c>
      <c r="AC49" s="2">
        <f t="shared" si="23"/>
        <v>1.9166520133638159</v>
      </c>
    </row>
    <row r="50" spans="1:29" x14ac:dyDescent="0.25">
      <c r="B50">
        <v>9</v>
      </c>
      <c r="D50" s="3"/>
      <c r="E50" s="3"/>
      <c r="F50" s="3"/>
      <c r="H50" s="2"/>
      <c r="I50" s="2"/>
      <c r="K50" s="2"/>
      <c r="M50">
        <v>9</v>
      </c>
      <c r="N50" s="3"/>
      <c r="O50" s="3"/>
      <c r="P50" s="3"/>
      <c r="R50" s="2"/>
      <c r="S50" s="2"/>
      <c r="W50">
        <v>9</v>
      </c>
      <c r="X50" s="3"/>
      <c r="Y50" s="3"/>
      <c r="Z50" s="3"/>
      <c r="AB50" s="2"/>
      <c r="AC50" s="2"/>
    </row>
    <row r="51" spans="1:29" x14ac:dyDescent="0.25">
      <c r="B51">
        <v>10</v>
      </c>
      <c r="C51">
        <v>511.2</v>
      </c>
      <c r="D51" s="3">
        <f>(116.5/511.2)*100</f>
        <v>22.789514866979658</v>
      </c>
      <c r="E51" s="3">
        <f>(124.7/511.2)*100</f>
        <v>24.393583724569641</v>
      </c>
      <c r="F51" s="3">
        <f>(126.2/511.2)*100</f>
        <v>24.687010954616589</v>
      </c>
      <c r="H51" s="2">
        <f t="shared" si="18"/>
        <v>-6.575781876503612</v>
      </c>
      <c r="I51" s="2">
        <f t="shared" si="19"/>
        <v>-7.686212361331215</v>
      </c>
      <c r="K51" s="2"/>
      <c r="M51">
        <v>10</v>
      </c>
      <c r="N51" s="3">
        <f>(241.7/511.2)*100</f>
        <v>47.280907668231606</v>
      </c>
      <c r="O51" s="3">
        <f>(251/511.2)*100</f>
        <v>49.100156494522693</v>
      </c>
      <c r="P51" s="3">
        <f>(257.6/511.2)*100</f>
        <v>50.391236306729269</v>
      </c>
      <c r="R51" s="2">
        <f t="shared" si="20"/>
        <v>-3.7051792828685421</v>
      </c>
      <c r="S51" s="2">
        <f t="shared" si="21"/>
        <v>-6.1723602484472337</v>
      </c>
      <c r="W51">
        <v>10</v>
      </c>
      <c r="X51" s="3">
        <f>(444/511.2)*100</f>
        <v>86.854460093896719</v>
      </c>
      <c r="Y51" s="3">
        <f>(508.5/511.2)*100</f>
        <v>99.471830985915503</v>
      </c>
      <c r="Z51" s="3">
        <f>(549.7/511.2)*100</f>
        <v>107.53129890453835</v>
      </c>
      <c r="AB51" s="2">
        <f t="shared" si="22"/>
        <v>-12.684365781710909</v>
      </c>
      <c r="AC51" s="2">
        <f t="shared" si="23"/>
        <v>-19.228670183736583</v>
      </c>
    </row>
    <row r="52" spans="1:29" x14ac:dyDescent="0.25">
      <c r="B52">
        <v>11</v>
      </c>
      <c r="C52">
        <v>580.4</v>
      </c>
      <c r="D52" s="3">
        <f>(127.4/580.4)*100</f>
        <v>21.950379048931772</v>
      </c>
      <c r="E52" s="3">
        <f>(129.2/580.4)*100</f>
        <v>22.260509993108197</v>
      </c>
      <c r="F52" s="3">
        <f>(133/580.4)*100</f>
        <v>22.915230875258445</v>
      </c>
      <c r="H52" s="2">
        <f t="shared" si="18"/>
        <v>-1.3931888544891535</v>
      </c>
      <c r="I52" s="2">
        <f t="shared" si="19"/>
        <v>-4.2105263157894797</v>
      </c>
      <c r="K52" s="2"/>
      <c r="M52">
        <v>11</v>
      </c>
      <c r="N52" s="3">
        <f>(268.3/580.4)*100</f>
        <v>46.22674017918677</v>
      </c>
      <c r="O52" s="3">
        <f>(290/580.4)*100</f>
        <v>49.965541006202621</v>
      </c>
      <c r="P52" s="3">
        <f>(300.1/580.4)*100</f>
        <v>51.705720192970375</v>
      </c>
      <c r="R52" s="2">
        <f t="shared" si="20"/>
        <v>-7.4827586206896513</v>
      </c>
      <c r="S52" s="2">
        <f t="shared" si="21"/>
        <v>-10.596467844052</v>
      </c>
      <c r="W52">
        <v>11</v>
      </c>
      <c r="X52" s="3">
        <f>(478/580.4)*100</f>
        <v>82.356995175740877</v>
      </c>
      <c r="Y52" s="3">
        <f>(524.5/580.4)*100</f>
        <v>90.368711233631984</v>
      </c>
      <c r="Z52" s="3">
        <f>(544.9/580.4)*100</f>
        <v>93.883528600964851</v>
      </c>
      <c r="AB52" s="2">
        <f t="shared" si="22"/>
        <v>-8.8655862726405985</v>
      </c>
      <c r="AC52" s="2">
        <f t="shared" si="23"/>
        <v>-12.277482106808577</v>
      </c>
    </row>
    <row r="53" spans="1:29" x14ac:dyDescent="0.25">
      <c r="B53">
        <v>12</v>
      </c>
      <c r="D53" s="3"/>
      <c r="E53" s="3"/>
      <c r="F53" s="3"/>
      <c r="H53" s="2"/>
      <c r="I53" s="2"/>
      <c r="K53" s="2"/>
      <c r="M53">
        <v>12</v>
      </c>
      <c r="N53" s="3"/>
      <c r="O53" s="3"/>
      <c r="P53" s="3"/>
      <c r="R53" s="2"/>
      <c r="S53" s="2"/>
      <c r="W53">
        <v>12</v>
      </c>
      <c r="X53" s="3"/>
      <c r="Y53" s="3"/>
      <c r="Z53" s="3"/>
      <c r="AB53" s="2"/>
      <c r="AC53" s="2"/>
    </row>
    <row r="54" spans="1:29" x14ac:dyDescent="0.25">
      <c r="D54" s="3"/>
      <c r="E54" s="3"/>
      <c r="F54" s="3"/>
      <c r="G54" s="3"/>
      <c r="O54" s="3"/>
      <c r="P54" s="3"/>
      <c r="Q54" s="3"/>
      <c r="Y54" s="3"/>
      <c r="Z54" s="3"/>
      <c r="AA54" s="3"/>
    </row>
    <row r="55" spans="1:29" x14ac:dyDescent="0.25">
      <c r="D55" s="3">
        <f>AVERAGE(D42:D53)</f>
        <v>20.50088371606147</v>
      </c>
      <c r="E55" s="3">
        <f>AVERAGE(E42:E53)</f>
        <v>21.750361030018663</v>
      </c>
      <c r="F55" s="3">
        <f>AVERAGE(F42:F53)</f>
        <v>22.092247024612359</v>
      </c>
      <c r="H55" s="3">
        <f>AVERAGE(H42:H53)</f>
        <v>-5.413445983786378</v>
      </c>
      <c r="I55" s="3">
        <f>AVERAGE(I42:I53)</f>
        <v>-6.798938284047769</v>
      </c>
      <c r="N55" s="3">
        <f>AVERAGE(N42:N53)</f>
        <v>46.749533709002499</v>
      </c>
      <c r="O55" s="3">
        <f>AVERAGE(O42:O53)</f>
        <v>50.103823400748837</v>
      </c>
      <c r="P55" s="3">
        <f>AVERAGE(P42:P53)</f>
        <v>52.093875549469281</v>
      </c>
      <c r="R55" s="3">
        <f>AVERAGE(R42:R53)</f>
        <v>-5.6904349888990016</v>
      </c>
      <c r="S55" s="3">
        <f>AVERAGE(S42:S53)</f>
        <v>-8.1819637566601973</v>
      </c>
      <c r="X55" s="3">
        <f>AVERAGE(X42:X53)</f>
        <v>81.328582080991751</v>
      </c>
      <c r="Y55" s="3">
        <f>AVERAGE(Y42:Y53)</f>
        <v>86.866454575572092</v>
      </c>
      <c r="Z55" s="3">
        <f>AVERAGE(Z42:Z53)</f>
        <v>89.183563221745089</v>
      </c>
      <c r="AB55" s="3">
        <f>AVERAGE(AB42:AB53)</f>
        <v>-5.8853214379286323</v>
      </c>
      <c r="AC55" s="3">
        <f>AVERAGE(AC42:AC53)</f>
        <v>-7.678874468610295</v>
      </c>
    </row>
    <row r="56" spans="1:29" x14ac:dyDescent="0.25">
      <c r="D56" s="3">
        <f>STDEV(D42:D53)</f>
        <v>1.8397076225458475</v>
      </c>
      <c r="E56" s="3">
        <f>STDEV(E42:E53)</f>
        <v>2.0773229828206907</v>
      </c>
      <c r="F56" s="3">
        <f>STDEV(F42:F53)</f>
        <v>2.2939245156788668</v>
      </c>
      <c r="H56" s="3">
        <f>STDEV(H42:H53)</f>
        <v>7.7944000477015161</v>
      </c>
      <c r="I56" s="3">
        <f>STDEV(I42:I53)</f>
        <v>7.7331294441323246</v>
      </c>
      <c r="N56" s="3">
        <f>STDEV(N42:N53)</f>
        <v>6.8811068012455028</v>
      </c>
      <c r="O56" s="3">
        <f>STDEV(O42:O53)</f>
        <v>9.9912499990211998</v>
      </c>
      <c r="P56" s="3">
        <f>STDEV(P42:P53)</f>
        <v>13.578528982589388</v>
      </c>
      <c r="R56" s="3">
        <f>STDEV(R42:R53)</f>
        <v>9.3406237498212104</v>
      </c>
      <c r="S56" s="3">
        <f>STDEV(S42:S53)</f>
        <v>11.052211578097639</v>
      </c>
      <c r="X56" s="3">
        <f>STDEV(X42:X53)</f>
        <v>12.645469126423352</v>
      </c>
      <c r="Y56" s="3">
        <f>STDEV(Y42:Y53)</f>
        <v>15.871008963307736</v>
      </c>
      <c r="Z56" s="3">
        <f>STDEV(Z42:Z53)</f>
        <v>19.006354261547251</v>
      </c>
      <c r="AB56" s="3">
        <f>STDEV(AB42:AB53)</f>
        <v>4.9322737974224387</v>
      </c>
      <c r="AC56" s="3">
        <f>STDEV(AC42:AC53)</f>
        <v>8.3273254251591382</v>
      </c>
    </row>
    <row r="60" spans="1:29" x14ac:dyDescent="0.25">
      <c r="A60" t="s">
        <v>18</v>
      </c>
      <c r="H60" t="s">
        <v>14</v>
      </c>
      <c r="I60" t="s">
        <v>15</v>
      </c>
      <c r="L60" t="s">
        <v>18</v>
      </c>
      <c r="R60" t="s">
        <v>14</v>
      </c>
      <c r="S60" t="s">
        <v>15</v>
      </c>
      <c r="V60" t="s">
        <v>18</v>
      </c>
      <c r="AB60" t="s">
        <v>14</v>
      </c>
      <c r="AC60" t="s">
        <v>15</v>
      </c>
    </row>
    <row r="61" spans="1:29" x14ac:dyDescent="0.25">
      <c r="A61" s="1">
        <v>0.25</v>
      </c>
      <c r="B61" t="s">
        <v>1</v>
      </c>
      <c r="D61" t="s">
        <v>20</v>
      </c>
      <c r="E61" t="s">
        <v>21</v>
      </c>
      <c r="F61" t="s">
        <v>22</v>
      </c>
      <c r="H61" t="s">
        <v>13</v>
      </c>
      <c r="I61" t="s">
        <v>13</v>
      </c>
      <c r="K61" s="1"/>
      <c r="L61" s="1">
        <v>0.5</v>
      </c>
      <c r="M61" t="s">
        <v>1</v>
      </c>
      <c r="N61" t="s">
        <v>20</v>
      </c>
      <c r="O61" t="s">
        <v>21</v>
      </c>
      <c r="P61" t="s">
        <v>22</v>
      </c>
      <c r="R61" t="s">
        <v>13</v>
      </c>
      <c r="S61" t="s">
        <v>13</v>
      </c>
      <c r="V61" s="1">
        <v>0.75</v>
      </c>
      <c r="W61" t="s">
        <v>1</v>
      </c>
      <c r="X61" t="s">
        <v>20</v>
      </c>
      <c r="Y61" t="s">
        <v>21</v>
      </c>
      <c r="Z61" t="s">
        <v>22</v>
      </c>
      <c r="AB61" t="s">
        <v>13</v>
      </c>
      <c r="AC61" t="s">
        <v>13</v>
      </c>
    </row>
    <row r="62" spans="1:29" x14ac:dyDescent="0.25">
      <c r="B62">
        <v>1</v>
      </c>
      <c r="C62">
        <v>322.10000000000002</v>
      </c>
      <c r="D62">
        <v>19.3</v>
      </c>
      <c r="E62">
        <v>19.7</v>
      </c>
      <c r="F62">
        <v>20.100000000000001</v>
      </c>
      <c r="H62" s="2">
        <f>((D62/E62)*100)-100</f>
        <v>-2.0304568527918718</v>
      </c>
      <c r="I62" s="2">
        <f>((D62/F62)*100)-100</f>
        <v>-3.9800995024875618</v>
      </c>
      <c r="K62" s="2"/>
      <c r="M62">
        <v>1</v>
      </c>
      <c r="N62">
        <v>46.8</v>
      </c>
      <c r="O62">
        <v>49.6</v>
      </c>
      <c r="P62" s="3">
        <v>49</v>
      </c>
      <c r="R62" s="2">
        <f>((N62/O62)*100)-100</f>
        <v>-5.6451612903225907</v>
      </c>
      <c r="S62" s="2">
        <f>((N62/P62)*100)-100</f>
        <v>-4.4897959183673493</v>
      </c>
      <c r="W62">
        <v>1</v>
      </c>
      <c r="X62">
        <v>81.400000000000006</v>
      </c>
      <c r="Y62">
        <v>90.8</v>
      </c>
      <c r="Z62">
        <v>92.5</v>
      </c>
      <c r="AB62" s="2">
        <f>((X62/Y62)*100)-100</f>
        <v>-10.352422907488972</v>
      </c>
      <c r="AC62" s="2">
        <f>((X62/Z62)*100)-100</f>
        <v>-11.999999999999986</v>
      </c>
    </row>
    <row r="63" spans="1:29" x14ac:dyDescent="0.25">
      <c r="B63">
        <v>2</v>
      </c>
      <c r="C63">
        <v>356.2</v>
      </c>
      <c r="D63" s="3">
        <v>26.3</v>
      </c>
      <c r="E63" s="3">
        <f>(79.4/356.2)*100</f>
        <v>22.290847838293097</v>
      </c>
      <c r="F63" s="3">
        <f>(89.3/356.2)*100</f>
        <v>25.070185289163394</v>
      </c>
      <c r="H63" s="2">
        <f t="shared" ref="H63:H72" si="24">((D63/E63)*100)-100</f>
        <v>17.985642317380339</v>
      </c>
      <c r="I63" s="2">
        <f t="shared" ref="I63:I72" si="25">((D63/F63)*100)-100</f>
        <v>4.9054871220604639</v>
      </c>
      <c r="K63" s="2"/>
      <c r="M63">
        <v>2</v>
      </c>
      <c r="N63" s="3">
        <f>(169/356.2)*100</f>
        <v>47.445255474452559</v>
      </c>
      <c r="O63" s="3">
        <f>(186/356.2)*100</f>
        <v>52.217855137563177</v>
      </c>
      <c r="P63" s="3">
        <f>(189.4/356.2)*100</f>
        <v>53.172375070185296</v>
      </c>
      <c r="R63" s="2">
        <f t="shared" ref="R63:R72" si="26">((N63/O63)*100)-100</f>
        <v>-9.1397849462365741</v>
      </c>
      <c r="S63" s="2">
        <f t="shared" ref="S63:S72" si="27">((N63/P63)*100)-100</f>
        <v>-10.770855332629353</v>
      </c>
      <c r="W63">
        <v>2</v>
      </c>
      <c r="X63" s="3">
        <f>(263.8/356.2)*100</f>
        <v>74.059517125210562</v>
      </c>
      <c r="Y63" s="3">
        <f>(297.5/356.2)*100</f>
        <v>83.520494104435713</v>
      </c>
      <c r="Z63" s="3">
        <f>(250.5/356.2)*100</f>
        <v>70.325659741718141</v>
      </c>
      <c r="AB63" s="2">
        <f t="shared" ref="AB63:AB72" si="28">((X63/Y63)*100)-100</f>
        <v>-11.327731092436963</v>
      </c>
      <c r="AC63" s="2">
        <f t="shared" ref="AC63:AC72" si="29">((X63/Z63)*100)-100</f>
        <v>5.3093812375249598</v>
      </c>
    </row>
    <row r="64" spans="1:29" x14ac:dyDescent="0.25">
      <c r="B64">
        <v>3</v>
      </c>
      <c r="C64">
        <v>104.1</v>
      </c>
      <c r="D64" s="3">
        <f>(16.7/104.1)*100</f>
        <v>16.042267050912585</v>
      </c>
      <c r="E64" s="3">
        <f>(17/104.1)*100</f>
        <v>16.330451488952928</v>
      </c>
      <c r="F64" s="3">
        <f>(17.3/104.1)*100</f>
        <v>16.618635926993278</v>
      </c>
      <c r="H64" s="2">
        <f t="shared" si="24"/>
        <v>-1.7647058823529278</v>
      </c>
      <c r="I64" s="2">
        <f t="shared" si="25"/>
        <v>-3.4682080924855541</v>
      </c>
      <c r="K64" s="2"/>
      <c r="M64">
        <v>3</v>
      </c>
      <c r="N64" s="3">
        <f>(45.7/104.1)*100</f>
        <v>43.900096061479353</v>
      </c>
      <c r="O64" s="3">
        <f>(51.5/104.1)*100</f>
        <v>49.471661863592701</v>
      </c>
      <c r="P64" s="3">
        <f>(50.7/104.1)*100</f>
        <v>48.703170028818448</v>
      </c>
      <c r="R64" s="2">
        <f t="shared" si="26"/>
        <v>-11.262135922330089</v>
      </c>
      <c r="S64" s="2">
        <f t="shared" si="27"/>
        <v>-9.8619329388560146</v>
      </c>
      <c r="W64">
        <v>3</v>
      </c>
      <c r="X64" s="3">
        <f>(87.7/104.1)*100</f>
        <v>84.245917387127761</v>
      </c>
      <c r="Y64" s="3">
        <f>(97.9/104.1)*100</f>
        <v>94.044188280499526</v>
      </c>
      <c r="Z64" s="3">
        <f>(94.7/104.1)*100</f>
        <v>90.970220941402502</v>
      </c>
      <c r="AB64" s="2">
        <f t="shared" si="28"/>
        <v>-10.418794688457609</v>
      </c>
      <c r="AC64" s="2">
        <f t="shared" si="29"/>
        <v>-7.3917634635691627</v>
      </c>
    </row>
    <row r="65" spans="2:29" x14ac:dyDescent="0.25">
      <c r="B65">
        <v>4</v>
      </c>
      <c r="C65">
        <v>199.1</v>
      </c>
      <c r="D65" s="3">
        <f>(36.6/199.1)*100</f>
        <v>18.382722250125568</v>
      </c>
      <c r="E65" s="3">
        <f>(37.2/199.1)*100</f>
        <v>18.684078352586642</v>
      </c>
      <c r="F65" s="3">
        <f>(35.5/199.1)*100</f>
        <v>17.83023606228026</v>
      </c>
      <c r="H65" s="2">
        <f t="shared" si="24"/>
        <v>-1.6129032258064484</v>
      </c>
      <c r="I65" s="2">
        <f t="shared" si="25"/>
        <v>3.0985915492957901</v>
      </c>
      <c r="K65" s="2"/>
      <c r="M65">
        <v>4</v>
      </c>
      <c r="N65" s="3">
        <f>(85.8/199.1)*100</f>
        <v>43.093922651933703</v>
      </c>
      <c r="O65" s="3">
        <f>(90.6/199.1)*100</f>
        <v>45.504771471622298</v>
      </c>
      <c r="P65" s="3">
        <f>(82.1/199/1)*100</f>
        <v>41.256281407035175</v>
      </c>
      <c r="R65" s="2">
        <f t="shared" si="26"/>
        <v>-5.2980132450331041</v>
      </c>
      <c r="S65" s="2">
        <f t="shared" si="27"/>
        <v>4.4542095948210374</v>
      </c>
      <c r="W65">
        <v>4</v>
      </c>
      <c r="X65" s="3">
        <f>(160.6/199.1)*100</f>
        <v>80.662983425414367</v>
      </c>
      <c r="Y65" s="3">
        <f>(180.9/199.1)*100</f>
        <v>90.858864892014068</v>
      </c>
      <c r="Z65" s="3">
        <f>(161.6/199.1)*100</f>
        <v>81.165243596182819</v>
      </c>
      <c r="AB65" s="2">
        <f t="shared" si="28"/>
        <v>-11.221669430624658</v>
      </c>
      <c r="AC65" s="2">
        <f t="shared" si="29"/>
        <v>-0.61881188118810826</v>
      </c>
    </row>
    <row r="66" spans="2:29" x14ac:dyDescent="0.25">
      <c r="B66">
        <v>5</v>
      </c>
      <c r="C66">
        <v>517.29999999999995</v>
      </c>
      <c r="D66" s="3">
        <f>(116.1/517.3)*100</f>
        <v>22.443456408273729</v>
      </c>
      <c r="E66" s="3">
        <f>(119.6/517.3)*100</f>
        <v>23.12004639474193</v>
      </c>
      <c r="F66" s="3">
        <f>(129.6/517.3)*100</f>
        <v>25.05316064179393</v>
      </c>
      <c r="H66" s="2">
        <f t="shared" si="24"/>
        <v>-2.926421404682273</v>
      </c>
      <c r="I66" s="2">
        <f t="shared" si="25"/>
        <v>-10.416666666666657</v>
      </c>
      <c r="K66" s="2"/>
      <c r="M66">
        <v>5</v>
      </c>
      <c r="N66" s="3">
        <f>(222.6/517.3)*100</f>
        <v>43.031123139377542</v>
      </c>
      <c r="O66" s="3">
        <f>(252.1/517.3)*100</f>
        <v>48.733810168180938</v>
      </c>
      <c r="P66" s="3">
        <f>(264.5/517.3)*100</f>
        <v>51.130871834525429</v>
      </c>
      <c r="R66" s="2">
        <f t="shared" si="26"/>
        <v>-11.701705672352219</v>
      </c>
      <c r="S66" s="2">
        <f t="shared" si="27"/>
        <v>-15.84120982986768</v>
      </c>
      <c r="W66">
        <v>5</v>
      </c>
      <c r="X66" s="3">
        <f>(439.6/517.3)*100</f>
        <v>84.979702300405961</v>
      </c>
      <c r="Y66" s="3">
        <f>(439.7/517.3)*100</f>
        <v>84.999033442876481</v>
      </c>
      <c r="Z66" s="3">
        <f>(436.6/517.3)*100</f>
        <v>84.39976802629036</v>
      </c>
      <c r="AB66" s="2">
        <f t="shared" si="28"/>
        <v>-2.2742779167614913E-2</v>
      </c>
      <c r="AC66" s="2">
        <f t="shared" si="29"/>
        <v>0.6871278057718655</v>
      </c>
    </row>
    <row r="67" spans="2:29" x14ac:dyDescent="0.25">
      <c r="B67">
        <v>6</v>
      </c>
      <c r="C67">
        <v>495.6</v>
      </c>
      <c r="D67" s="3">
        <f>(108.1/495.6)*100</f>
        <v>21.811945117029861</v>
      </c>
      <c r="E67" s="3">
        <f>(119.5/495.6)*100</f>
        <v>24.112187247780469</v>
      </c>
      <c r="F67" s="3">
        <f>(114.2/495.6)*100</f>
        <v>23.042776432606939</v>
      </c>
      <c r="H67" s="2">
        <f t="shared" si="24"/>
        <v>-9.5397489539749074</v>
      </c>
      <c r="I67" s="2">
        <f t="shared" si="25"/>
        <v>-5.3415061295971924</v>
      </c>
      <c r="K67" s="2"/>
      <c r="M67">
        <v>6</v>
      </c>
      <c r="N67" s="3">
        <f>(191.4/495.6)*100</f>
        <v>38.619854721549636</v>
      </c>
      <c r="O67" s="3">
        <f>(210/495.6)*100</f>
        <v>42.372881355932201</v>
      </c>
      <c r="P67" s="3">
        <f>(200.4/495.6)*100</f>
        <v>40.435835351089587</v>
      </c>
      <c r="R67" s="2">
        <f t="shared" si="26"/>
        <v>-8.857142857142847</v>
      </c>
      <c r="S67" s="2">
        <f t="shared" si="27"/>
        <v>-4.4910179640718582</v>
      </c>
      <c r="W67">
        <v>6</v>
      </c>
      <c r="X67" s="3">
        <f>(314.3/495.6)*100</f>
        <v>63.418079096045197</v>
      </c>
      <c r="Y67" s="3">
        <f>(302.9/495.6)*100</f>
        <v>61.117836965294579</v>
      </c>
      <c r="Z67" s="3">
        <f>(305.7/495.6)*100</f>
        <v>61.682808716707015</v>
      </c>
      <c r="AB67" s="2">
        <f t="shared" si="28"/>
        <v>3.7636183558930441</v>
      </c>
      <c r="AC67" s="2">
        <f t="shared" si="29"/>
        <v>2.813215570821086</v>
      </c>
    </row>
    <row r="68" spans="2:29" x14ac:dyDescent="0.25">
      <c r="B68">
        <v>7</v>
      </c>
      <c r="D68" s="3"/>
      <c r="E68" s="3"/>
      <c r="F68" s="3"/>
      <c r="H68" s="2"/>
      <c r="I68" s="2"/>
      <c r="K68" s="2"/>
      <c r="M68">
        <v>7</v>
      </c>
      <c r="N68" s="3"/>
      <c r="O68" s="3"/>
      <c r="P68" s="3"/>
      <c r="R68" s="2"/>
      <c r="S68" s="2"/>
      <c r="W68">
        <v>7</v>
      </c>
      <c r="X68" s="3"/>
      <c r="Y68" s="3"/>
      <c r="Z68" s="3"/>
      <c r="AB68" s="2"/>
      <c r="AC68" s="2"/>
    </row>
    <row r="69" spans="2:29" x14ac:dyDescent="0.25">
      <c r="B69">
        <v>8</v>
      </c>
      <c r="C69">
        <v>494.9</v>
      </c>
      <c r="D69" s="3">
        <f>(139.5/494.9)*100</f>
        <v>28.187512628813906</v>
      </c>
      <c r="E69" s="3">
        <f>(134.5/494.9)*100</f>
        <v>27.177207516670038</v>
      </c>
      <c r="F69" s="3">
        <f>(125.8/494.9)*100</f>
        <v>25.419276621539705</v>
      </c>
      <c r="H69" s="2">
        <f t="shared" si="24"/>
        <v>3.7174721189591224</v>
      </c>
      <c r="I69" s="2">
        <f t="shared" si="25"/>
        <v>10.890302066772662</v>
      </c>
      <c r="K69" s="2"/>
      <c r="M69">
        <v>8</v>
      </c>
      <c r="N69" s="3">
        <f>(234.5/494.9)*100</f>
        <v>47.383309759547387</v>
      </c>
      <c r="O69" s="3">
        <f>(248.7/494.9)*100</f>
        <v>50.252576278035967</v>
      </c>
      <c r="P69" s="3">
        <f>(250.3/494.9)*100</f>
        <v>50.57587391392201</v>
      </c>
      <c r="R69" s="2">
        <f t="shared" si="26"/>
        <v>-5.7096903900281433</v>
      </c>
      <c r="S69" s="2">
        <f t="shared" si="27"/>
        <v>-6.3124250898921304</v>
      </c>
      <c r="W69">
        <v>8</v>
      </c>
      <c r="X69" s="3">
        <f>(385.2/494.9)*100</f>
        <v>77.833905839563542</v>
      </c>
      <c r="Y69" s="3">
        <f>(400.1/494.9)*100</f>
        <v>80.84461507375228</v>
      </c>
      <c r="Z69" s="3">
        <f>(391/494.9)*100</f>
        <v>79.005859769650428</v>
      </c>
      <c r="AB69" s="2">
        <f t="shared" si="28"/>
        <v>-3.7240689827543179</v>
      </c>
      <c r="AC69" s="2">
        <f t="shared" si="29"/>
        <v>-1.4833759590792823</v>
      </c>
    </row>
    <row r="70" spans="2:29" x14ac:dyDescent="0.25">
      <c r="B70">
        <v>9</v>
      </c>
      <c r="D70" s="3"/>
      <c r="E70" s="3"/>
      <c r="F70" s="3"/>
      <c r="H70" s="2"/>
      <c r="I70" s="2"/>
      <c r="K70" s="2"/>
      <c r="M70">
        <v>9</v>
      </c>
      <c r="N70" s="3"/>
      <c r="O70" s="3"/>
      <c r="P70" s="3"/>
      <c r="R70" s="2"/>
      <c r="S70" s="2"/>
      <c r="W70">
        <v>9</v>
      </c>
      <c r="X70" s="3"/>
      <c r="Y70" s="3"/>
      <c r="Z70" s="3"/>
      <c r="AB70" s="2"/>
      <c r="AC70" s="2"/>
    </row>
    <row r="71" spans="2:29" x14ac:dyDescent="0.25">
      <c r="B71">
        <v>10</v>
      </c>
      <c r="C71">
        <v>589.1</v>
      </c>
      <c r="D71" s="3">
        <f>(127.7/589.1)*100</f>
        <v>21.677134612120184</v>
      </c>
      <c r="E71" s="3">
        <f>(124.2/589.1)*100</f>
        <v>21.08300797827194</v>
      </c>
      <c r="F71" s="3">
        <f>(124.2/589.1)*100</f>
        <v>21.08300797827194</v>
      </c>
      <c r="H71" s="2">
        <f t="shared" si="24"/>
        <v>2.8180354267310861</v>
      </c>
      <c r="I71" s="2">
        <f t="shared" si="25"/>
        <v>2.8180354267310861</v>
      </c>
      <c r="K71" s="2"/>
      <c r="M71">
        <v>10</v>
      </c>
      <c r="N71" s="3">
        <f>(258/589.1)*100</f>
        <v>43.795620437956202</v>
      </c>
      <c r="O71" s="3">
        <f>(264.3/589.1)*100</f>
        <v>44.865048378883046</v>
      </c>
      <c r="P71" s="3">
        <f>(265.3/589.1)*100</f>
        <v>45.034798845696827</v>
      </c>
      <c r="R71" s="2">
        <f t="shared" si="26"/>
        <v>-2.3836549375709524</v>
      </c>
      <c r="S71" s="2">
        <f t="shared" si="27"/>
        <v>-2.7516019600452353</v>
      </c>
      <c r="W71">
        <v>10</v>
      </c>
      <c r="X71" s="3">
        <f>(450.8/589.1)*100</f>
        <v>76.523510439653705</v>
      </c>
      <c r="Y71" s="3">
        <f>(498.9/589.1)*100</f>
        <v>84.688507893396704</v>
      </c>
      <c r="Z71" s="3">
        <f>(498.7/589.1)*100</f>
        <v>84.654557800033942</v>
      </c>
      <c r="AB71" s="2">
        <f t="shared" si="28"/>
        <v>-9.6412106634596029</v>
      </c>
      <c r="AC71" s="2">
        <f t="shared" si="29"/>
        <v>-9.6049729296169915</v>
      </c>
    </row>
    <row r="72" spans="2:29" x14ac:dyDescent="0.25">
      <c r="B72">
        <v>11</v>
      </c>
      <c r="C72" s="3">
        <v>671</v>
      </c>
      <c r="D72" s="3">
        <f>(152.5/671)*100</f>
        <v>22.727272727272727</v>
      </c>
      <c r="E72" s="3">
        <f>(134.3/671)*100</f>
        <v>20.014903129657231</v>
      </c>
      <c r="F72" s="3">
        <f>(126.6/671)*100</f>
        <v>18.86736214605067</v>
      </c>
      <c r="H72" s="2">
        <f t="shared" si="24"/>
        <v>13.551749813849568</v>
      </c>
      <c r="I72" s="2">
        <f t="shared" si="25"/>
        <v>20.458135860979468</v>
      </c>
      <c r="K72" s="2"/>
      <c r="M72">
        <v>11</v>
      </c>
      <c r="N72" s="3">
        <f>(251.3/671)*100</f>
        <v>37.451564828614011</v>
      </c>
      <c r="O72" s="3">
        <f>(278.7/671)*100</f>
        <v>41.535022354694483</v>
      </c>
      <c r="P72" s="3">
        <v>42</v>
      </c>
      <c r="R72" s="2">
        <f t="shared" si="26"/>
        <v>-9.8313598851811861</v>
      </c>
      <c r="S72" s="2">
        <f t="shared" si="27"/>
        <v>-10.829607550919022</v>
      </c>
      <c r="W72">
        <v>11</v>
      </c>
      <c r="X72" s="3">
        <f>(505.6/671)*100</f>
        <v>75.350223546944861</v>
      </c>
      <c r="Y72" s="3">
        <f>(524.8/671)*100</f>
        <v>78.211624441132628</v>
      </c>
      <c r="Z72" s="3">
        <f>(514.7/671)*100</f>
        <v>76.706408345752621</v>
      </c>
      <c r="AB72" s="2">
        <f t="shared" si="28"/>
        <v>-3.6585365853658374</v>
      </c>
      <c r="AC72" s="2">
        <f t="shared" si="29"/>
        <v>-1.7680202059452199</v>
      </c>
    </row>
    <row r="73" spans="2:29" x14ac:dyDescent="0.25">
      <c r="B73">
        <v>12</v>
      </c>
      <c r="D73" s="3"/>
      <c r="E73" s="3"/>
      <c r="F73" s="3"/>
      <c r="H73" s="2"/>
      <c r="I73" s="2"/>
      <c r="K73" s="2"/>
      <c r="M73">
        <v>12</v>
      </c>
      <c r="N73" s="3"/>
      <c r="O73" s="3"/>
      <c r="P73" s="3"/>
      <c r="R73" s="2"/>
      <c r="S73" s="2"/>
      <c r="W73">
        <v>12</v>
      </c>
      <c r="X73" s="3"/>
      <c r="Y73" s="3"/>
      <c r="Z73" s="3"/>
      <c r="AB73" s="2"/>
      <c r="AC73" s="2"/>
    </row>
    <row r="74" spans="2:29" x14ac:dyDescent="0.25">
      <c r="E74" s="3"/>
      <c r="F74" s="3"/>
      <c r="G74" s="3"/>
      <c r="N74" s="3"/>
      <c r="O74" s="3"/>
      <c r="P74" s="3"/>
      <c r="Q74" s="3"/>
      <c r="X74" s="3"/>
      <c r="Y74" s="3"/>
      <c r="Z74" s="3"/>
      <c r="AA74" s="3"/>
    </row>
    <row r="75" spans="2:29" x14ac:dyDescent="0.25">
      <c r="D75" s="3">
        <f>AVERAGE(D62:D73)</f>
        <v>21.874701199394284</v>
      </c>
      <c r="E75" s="3">
        <f>AVERAGE(E62:E73)</f>
        <v>21.390303327439362</v>
      </c>
      <c r="F75" s="3">
        <f>AVERAGE(F62:F73)</f>
        <v>21.453849010966685</v>
      </c>
      <c r="H75" s="3">
        <f>AVERAGE(H62:H73)</f>
        <v>2.2442959285901876</v>
      </c>
      <c r="I75" s="3">
        <f>AVERAGE(I62:I73)</f>
        <v>2.1071190705113896</v>
      </c>
      <c r="N75" s="3">
        <f>AVERAGE(N62:N73)</f>
        <v>43.502305230545595</v>
      </c>
      <c r="O75" s="3">
        <f>AVERAGE(O62:O73)</f>
        <v>47.172625223167202</v>
      </c>
      <c r="P75" s="3">
        <f>AVERAGE(P62:P73)</f>
        <v>46.812134050141417</v>
      </c>
      <c r="R75" s="3">
        <f>AVERAGE(R62:R73)</f>
        <v>-7.7587387940219674</v>
      </c>
      <c r="S75" s="3">
        <f>AVERAGE(S62:S73)</f>
        <v>-6.7660263322030669</v>
      </c>
      <c r="X75" s="3">
        <f>AVERAGE(X62:X73)</f>
        <v>77.60820435115177</v>
      </c>
      <c r="Y75" s="3">
        <f>AVERAGE(Y62:Y73)</f>
        <v>83.231685010378001</v>
      </c>
      <c r="Z75" s="3">
        <f>AVERAGE(Z62:Z73)</f>
        <v>80.156725215304206</v>
      </c>
      <c r="AB75" s="3">
        <f>AVERAGE(AB62:AB73)</f>
        <v>-6.2892843082069483</v>
      </c>
      <c r="AC75" s="3">
        <f>AVERAGE(AC62:AC73)</f>
        <v>-2.6730244250312043</v>
      </c>
    </row>
    <row r="76" spans="2:29" x14ac:dyDescent="0.25">
      <c r="D76" s="3">
        <f>STDEV(D62:D73)</f>
        <v>3.7644468475259534</v>
      </c>
      <c r="E76" s="3">
        <f>STDEV(E62:E73)</f>
        <v>3.2107035713072318</v>
      </c>
      <c r="F76" s="3">
        <f>STDEV(F62:F73)</f>
        <v>3.343883215411152</v>
      </c>
      <c r="H76" s="3">
        <f>STDEV(H62:H73)</f>
        <v>8.6093811356595982</v>
      </c>
      <c r="I76" s="3">
        <f>STDEV(I62:I73)</f>
        <v>9.378760137778503</v>
      </c>
      <c r="N76" s="3">
        <f>STDEV(N62:N73)</f>
        <v>3.5806194681669945</v>
      </c>
      <c r="O76" s="3">
        <f>STDEV(O62:O73)</f>
        <v>3.7329983579850805</v>
      </c>
      <c r="P76" s="3">
        <f>STDEV(P62:P73)</f>
        <v>4.7364664092767628</v>
      </c>
      <c r="R76" s="3">
        <f>STDEV(R62:R73)</f>
        <v>3.1393236394877495</v>
      </c>
      <c r="S76" s="3">
        <f>STDEV(S62:S73)</f>
        <v>5.885011472312299</v>
      </c>
      <c r="X76" s="3">
        <f>STDEV(X62:X73)</f>
        <v>6.5420411659688851</v>
      </c>
      <c r="Y76" s="3">
        <f>STDEV(Y62:Y73)</f>
        <v>9.7314833282546793</v>
      </c>
      <c r="Z76" s="3">
        <f>STDEV(Z62:Z73)</f>
        <v>9.7448945525781401</v>
      </c>
      <c r="AB76" s="3">
        <f>STDEV(AB62:AB73)</f>
        <v>5.5716165573623044</v>
      </c>
      <c r="AC76" s="3">
        <f>STDEV(AC62:AC73)</f>
        <v>5.7973401154362589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Participants</vt:lpstr>
      <vt:lpstr>MVC</vt:lpstr>
      <vt:lpstr>SD</vt:lpstr>
      <vt:lpstr>CV</vt:lpstr>
      <vt:lpstr>ApEn</vt:lpstr>
      <vt:lpstr>SampEn</vt:lpstr>
      <vt:lpstr>DFA</vt:lpstr>
      <vt:lpstr>arEMG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ssadmin</dc:creator>
  <cp:lastModifiedBy>Jamie</cp:lastModifiedBy>
  <dcterms:created xsi:type="dcterms:W3CDTF">2022-03-10T12:53:56Z</dcterms:created>
  <dcterms:modified xsi:type="dcterms:W3CDTF">2023-01-17T14:12:50Z</dcterms:modified>
</cp:coreProperties>
</file>